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Evaluation'!$A$10:$J$94</definedName>
    <definedName hidden="1" localSheetId="0" name="Z_433210F3_E568_4E10_8BE5_208443D482CE_.wvu.FilterData">'Group Heuristic Evaluation'!$A$10:$J$94</definedName>
    <definedName hidden="1" localSheetId="0" name="Z_675BA8E4_D77F_4AF1_8F16_AB356EAF6F70_.wvu.FilterData">'Group Heuristic Evaluation'!$A$10:$J$94</definedName>
  </definedNames>
  <calcPr/>
  <customWorkbookViews>
    <customWorkbookView activeSheetId="0" maximized="1" windowHeight="0" windowWidth="0" guid="{433210F3-E568-4E10-8BE5-208443D482CE}" name="Group by Task "/>
    <customWorkbookView activeSheetId="0" maximized="1" windowHeight="0" windowWidth="0" guid="{675BA8E4-D77F-4AF1-8F16-AB356EAF6F70}" name="Group by Task"/>
  </customWorkbookViews>
</workbook>
</file>

<file path=xl/sharedStrings.xml><?xml version="1.0" encoding="utf-8"?>
<sst xmlns="http://schemas.openxmlformats.org/spreadsheetml/2006/main" count="511" uniqueCount="278">
  <si>
    <t xml:space="preserve">Prototype Description: </t>
  </si>
  <si>
    <t>Elevate connects students with similar career goals, turning the often isolating job search journey into a shared, supportive experience.</t>
  </si>
  <si>
    <t>Simple Task</t>
  </si>
  <si>
    <t>Match users into groups based off of career interests</t>
  </si>
  <si>
    <t xml:space="preserve">will implement </t>
  </si>
  <si>
    <t>Moderate Task</t>
  </si>
  <si>
    <t>Set weekly goals</t>
  </si>
  <si>
    <t>might implement</t>
  </si>
  <si>
    <t>Complex Task</t>
  </si>
  <si>
    <t xml:space="preserve">Participate in weekly check-ins regarding emotional &amp; job search status
</t>
  </si>
  <si>
    <t>will not implement</t>
  </si>
  <si>
    <t>issue with figma</t>
  </si>
  <si>
    <t>*attach images here if helpful</t>
  </si>
  <si>
    <t>Problem #</t>
  </si>
  <si>
    <t>Column 2</t>
  </si>
  <si>
    <t>Column 3</t>
  </si>
  <si>
    <t>Column 4</t>
  </si>
  <si>
    <t>Column 5</t>
  </si>
  <si>
    <t>Column 6</t>
  </si>
  <si>
    <t>Column 7</t>
  </si>
  <si>
    <t>Column 8</t>
  </si>
  <si>
    <t xml:space="preserve">Notes: </t>
  </si>
  <si>
    <t>Implemented status:</t>
  </si>
  <si>
    <t>H1: Visibility of System Status</t>
  </si>
  <si>
    <t>1. Simple Task</t>
  </si>
  <si>
    <t>The app displays a loading screen while a group is being generated, but no component moves.</t>
  </si>
  <si>
    <t>There is no depiction of how close this process is to being completed.</t>
  </si>
  <si>
    <t>It's a very minor issue, but a progress bar could show a more detailed view of the status.</t>
  </si>
  <si>
    <t>A</t>
  </si>
  <si>
    <t xml:space="preserve">Add progress bar for onboarding </t>
  </si>
  <si>
    <t>Not started</t>
  </si>
  <si>
    <t>2. Moderate Task</t>
  </si>
  <si>
    <t>The goals are not updated after adding a new goal</t>
  </si>
  <si>
    <t>Should display the goal after it's added so users can know where/how to view the goals they've added</t>
  </si>
  <si>
    <t>Put the most recently added goal on top to replace the previous one. Assuming this is only an issue due to prototype limitations.</t>
  </si>
  <si>
    <t>D</t>
  </si>
  <si>
    <t>H10: Help &amp; Documentation</t>
  </si>
  <si>
    <t>When you go to the "members" page of the group, it initially looks like it only lists out the members rather than contain clickable icons that lead you to each member's profile. (See image 1.1MyanNgo-Elevate-HE-Images )</t>
  </si>
  <si>
    <t>This could confuse users, and not make them aware that there's an option to view their profile.</t>
  </si>
  <si>
    <t>Add a "view profile" button for each member (include or exclude the self user).</t>
  </si>
  <si>
    <t>C, B</t>
  </si>
  <si>
    <t xml:space="preserve">Change it to list view like Instagram, and instead of the 'remove' button it just says 'view profile' </t>
  </si>
  <si>
    <t>H7: Flexibility &amp; Efficiency of Use</t>
  </si>
  <si>
    <t>Several different pages for gaining user information in the beginning</t>
  </si>
  <si>
    <t>This could be nitpicky, but I felt as I kept hitting next that I was waiting for this introductory bit to end, and was disappointed when there kept being a new page for me to fill. I feel like making it scrollable would help, or adding some sort of progress bar so the user knows how far along everything is.</t>
  </si>
  <si>
    <t>Either make it scrollable or include a progress bar so the user knows when it will end (roughly)</t>
  </si>
  <si>
    <t>B</t>
  </si>
  <si>
    <t xml:space="preserve">Add loading bar for onboarding </t>
  </si>
  <si>
    <t>The only way to view other people's profiles is to go to the group home, go to members page, then click on their profile.</t>
  </si>
  <si>
    <t>For an experienced user that's already viewing someone's goals or check-in, if they want to navigate to the person's profile they would have to exit the page, go to member's page, then locate the person, then click on their profile.</t>
  </si>
  <si>
    <t>Include an option to view someone's profile from their weekly check-in or goals page (since it's already separated by user).</t>
  </si>
  <si>
    <t>C</t>
  </si>
  <si>
    <t>Put 'view profile' button within the checkin</t>
  </si>
  <si>
    <t>H4: Consistency &amp; Standards</t>
  </si>
  <si>
    <t>The members button has a different font weight than all of the other buttons.</t>
  </si>
  <si>
    <t xml:space="preserve">This inconsistent font-weight doesn't seem to fit the design standards. </t>
  </si>
  <si>
    <t>Make all the button font-weights the same, across sizes.</t>
  </si>
  <si>
    <t>The progress bars (displayed as a circle border) for deadlines are based on the date the goal was added,  which is not always relevant to the goal.</t>
  </si>
  <si>
    <t>Goals may be added at arbitrary times,  so these progress indicators may be misleading based on the percentage of completion they show.</t>
  </si>
  <si>
    <t>Remove the progress bars or replace with an indication based only on days left, not percentage of time elapsed.</t>
  </si>
  <si>
    <t>The time of a deadline is only visible when clicking on the goal.</t>
  </si>
  <si>
    <t>Times are an important status to display, and this addition would not take up much additional space.</t>
  </si>
  <si>
    <t>Adding time to the goal display may be helpful, but could also make the screen more cluttered. It's up to your preference.</t>
  </si>
  <si>
    <t>Add time (i.e., 11:20 AM); make it optional</t>
  </si>
  <si>
    <t>Only some goals are displayed by default, but there is no explanation of which ones are chosen.</t>
  </si>
  <si>
    <t>A user may want an explanation of how the displayed goals are chosen to better keep track of their schedule.</t>
  </si>
  <si>
    <t>Provide a short note explaining which goals are displayed (I assume it is the ones happening soonest).</t>
  </si>
  <si>
    <t>Keep a set number of goals that do get displayed and justify why (soon deadlines)</t>
  </si>
  <si>
    <t>The line spacing from each goal preview to another is inconsistent. (See image 2.2 MyanNgo-Elevate-HE-Images)</t>
  </si>
  <si>
    <t>The inconsistent line spacing doesn't align to design standards.</t>
  </si>
  <si>
    <t>Establish a set of "rules" for formatting.</t>
  </si>
  <si>
    <t>React Native standards we make will take care of this (just so it's consistent to the naked eye)</t>
  </si>
  <si>
    <t>Users can only check off a task/goal if they click into it, but not on the home page</t>
  </si>
  <si>
    <t>inconvenient because it takes one additional click for the user to check off a goal, so they cannot check off the goals on the home page directly</t>
  </si>
  <si>
    <t>add the box on directly under the goals so users can check them off without having to click into each goal individually</t>
  </si>
  <si>
    <t>Add a check on the right of each goal</t>
  </si>
  <si>
    <t>H12: Value Alignment &amp; Inclusion</t>
  </si>
  <si>
    <t>3. Complex Task</t>
  </si>
  <si>
    <t>There's a limited amount of choices for what they did well options (see 3.2 MyanNgo-Elevate-HE-Images)</t>
  </si>
  <si>
    <t>Restricting users to this pre-defined list of acomplishments might not include the diverse set of goals that users have. This could exclude these users.</t>
  </si>
  <si>
    <t>Add an "other" option in the list.</t>
  </si>
  <si>
    <t>Add a text insert option that lets users put what they did well</t>
  </si>
  <si>
    <t>H3: User Control &amp; Freedom</t>
  </si>
  <si>
    <t>Once users have checked off a box to mark their goal accomplished, they can't unclick it. (See image 3.1 MyanNgo-Elevate-HE-Images )</t>
  </si>
  <si>
    <t>If a user accidentally checks off a goal, they won't be able to fix it. It doesn't support an undo function</t>
  </si>
  <si>
    <t>Change the boxes to accept an undo by reclicking it.</t>
  </si>
  <si>
    <t>The caption under the group check-ins are inconsistent</t>
  </si>
  <si>
    <t>"Preview of their responses" is not consistent with "Check-in not Completed"</t>
  </si>
  <si>
    <t>change "preview of the responses" to "Check-in complete! click to view"</t>
  </si>
  <si>
    <t>"Completed" / "Not Completed" + add arrow to view the response</t>
  </si>
  <si>
    <t>H5: Error Prevention</t>
  </si>
  <si>
    <t>Users cannot go back to the previous page if they misclick</t>
  </si>
  <si>
    <t>Users cannot go back</t>
  </si>
  <si>
    <t>add a confirmation after answering each question</t>
  </si>
  <si>
    <t>D, B</t>
  </si>
  <si>
    <t>Instead of the back button at the top, change it to 'cancel' where it goes back to profile page. then add a back button to the left of the next button</t>
  </si>
  <si>
    <t>H8: Aesthetic &amp; Minimalist Design</t>
  </si>
  <si>
    <t>The check-in is displayed as questions and answers</t>
  </si>
  <si>
    <t>Too much information displayed on the page -- users have to keep scrolling to read through the check-in</t>
  </si>
  <si>
    <t>a more intuitive, straightforward way to visualize the user input</t>
  </si>
  <si>
    <t>Re-design member (NOT GROUP) check-in summary screen</t>
  </si>
  <si>
    <t>There is a like button on the group check-in which seems extraneous.</t>
  </si>
  <si>
    <t>The generic support provided by a like in this context does not seem particularly meaningful. It seems like an extraneous feature that clutters the interface.</t>
  </si>
  <si>
    <t>Remove the like button or replace it with a more personalized form of feedback.</t>
  </si>
  <si>
    <t>H11: Accessible Design</t>
  </si>
  <si>
    <t>5. Extra Violations</t>
  </si>
  <si>
    <t>The words are too small in the groupchat</t>
  </si>
  <si>
    <t>The words are relatively small for an iPhone screen, and the colors are also all the same for all users, so it's difficult to go through the messages</t>
  </si>
  <si>
    <t>use a different color for the background box for each user and make the message bigger than the user name</t>
  </si>
  <si>
    <t>The top of the screen seems underused, with only one button (the group chat).</t>
  </si>
  <si>
    <t>For ease of use, it would be helpful to keep some commonly-used functions always accessible at the top.</t>
  </si>
  <si>
    <t>Some ideas for features to display on the top bar are viewing your profile or adding goals.</t>
  </si>
  <si>
    <t xml:space="preserve">Play around with the logo and filling that white space </t>
  </si>
  <si>
    <t>On Grace Miller's profile page, her face is displayed twice</t>
  </si>
  <si>
    <t>The user's face is included in their weekly-check-ins, but the face is already visible on the top of the screen</t>
  </si>
  <si>
    <t>remove the face from the weekly check-in</t>
  </si>
  <si>
    <t>There is only enough room in the Group Goals section to display one goal.</t>
  </si>
  <si>
    <t>This information seems squeezed onto the bottom of the screen, which makes the interface feel cramped.</t>
  </si>
  <si>
    <t>One potential organization scheme is a tab system, so checkins and goals would be on different pages.</t>
  </si>
  <si>
    <t>H6: Recognition not Recall</t>
  </si>
  <si>
    <t>When creating an account, there is no indication of what the user has entered in the previous page</t>
  </si>
  <si>
    <t>Users have to rely on memory to know what personal information they've entered</t>
  </si>
  <si>
    <t>add a progress bar to summarize what the user has entered and how far they are to completing the creation of a new account</t>
  </si>
  <si>
    <t>progress bar</t>
  </si>
  <si>
    <t>H2: Match b/w System &amp; World</t>
  </si>
  <si>
    <t>Users are unable to sort goals based on urgency and/or importance.</t>
  </si>
  <si>
    <t>Users who have used to-do lists would expect to be able to sort their tasks, as this is a common strategy.</t>
  </si>
  <si>
    <t>Add some sorting system; two dimesnional might be complicated, but a simple importance scale may be helpful.</t>
  </si>
  <si>
    <t>There's no pop-up or confirmation when you click out of the set a new goal page.</t>
  </si>
  <si>
    <t>If the user accidentally navigates out of the page, they could unintentionally lose their goal information.</t>
  </si>
  <si>
    <t>Implement a confirmation pop-up that asks if the user "is sure they want to exit."</t>
  </si>
  <si>
    <t xml:space="preserve">The options to view profile and logout are contained in a dropdown of the settings button in the personal home page only. </t>
  </si>
  <si>
    <t>The settings icon is not clear enough to imply the options it holds, and it may be hard to remember which page it is on.</t>
  </si>
  <si>
    <t>Include these settings on the group page as well, and change the icon to align more with the profile theme.</t>
  </si>
  <si>
    <t>change icon</t>
  </si>
  <si>
    <t>There are no shortcuts for tasks like creating a recurring goal.</t>
  </si>
  <si>
    <t>Users who wish to create recurring goals or duplicate goals would have to individual enter them, which would be tedious and would clutter the goal interface.</t>
  </si>
  <si>
    <t>Include additional customization options in the "Set Goal" page for advanced users.</t>
  </si>
  <si>
    <t>maybe have a recurring option, not a huge priority</t>
  </si>
  <si>
    <t>The only way to exit the goal viewing pop-ups is by clicking the small x button at the top right.</t>
  </si>
  <si>
    <t xml:space="preserve">It's not as efficient to continously click the x button whenever you want to get back to the homepage. </t>
  </si>
  <si>
    <t>Allow users to click anywhere outside of the pop-up screen to exit the page.</t>
  </si>
  <si>
    <t>let users click anywhere in the gray area to exit</t>
  </si>
  <si>
    <t xml:space="preserve">The difference between goals and check-in is not immediately clear </t>
  </si>
  <si>
    <t>On the Personal Home page, the "Upcoming Goals" and "Your Check-In" are displayed vertically and only through words</t>
  </si>
  <si>
    <t>use more visual icons to group the two parts or potentially separate them into two separate pages to help users differentiate between the two functionalities</t>
  </si>
  <si>
    <t>have two different icons for goals and check-ins, and maybe use a description of what that's doing when you click it</t>
  </si>
  <si>
    <t>H9: Help Users with Errors</t>
  </si>
  <si>
    <t>There's no obvious sign that the date/time doesn't make sense when setting a new goal.</t>
  </si>
  <si>
    <t>If a user sets a date or time that has already passed, they won't be aware of it until they discover the error on their own.</t>
  </si>
  <si>
    <t>Have an error message for an invalid date.</t>
  </si>
  <si>
    <t>unclear how much of the check-in has been completed</t>
  </si>
  <si>
    <t>The check-in questions are a list of questions and users have to keep clicking to finish them</t>
  </si>
  <si>
    <t xml:space="preserve">add a progress bar   </t>
  </si>
  <si>
    <t>C, D</t>
  </si>
  <si>
    <t>User is guided to set new goals before completing check-in</t>
  </si>
  <si>
    <t>Making the user set new goals makes it feel like the end of the check-in, I was shocked to see there was more afterward</t>
  </si>
  <si>
    <t>Have the user set new goal after completing the rest of the check-in</t>
  </si>
  <si>
    <t>B, A</t>
  </si>
  <si>
    <t>The check-in and the goal setting features are overlapping so it's unclear to the user where they should set the goals</t>
  </si>
  <si>
    <t>Users can set goals both directly under the goal and through the check-in</t>
  </si>
  <si>
    <t>1. separate out goal-setting from the check-in to not confuse users 2. have different visual designs that match with the activity (i.e. for goals make it bullet-point like, and for check-in make it more journal-style)</t>
  </si>
  <si>
    <t>D, A, B</t>
  </si>
  <si>
    <t>The weekly checkin is located on the individual home page rather than the group home.</t>
  </si>
  <si>
    <t>Since the checkin is a function associated with teh group, it would be expected to be in the group page.</t>
  </si>
  <si>
    <t>Move the checkin button to be near the "Group Check-ins" header.</t>
  </si>
  <si>
    <t>might be worth revisiting this topic later</t>
  </si>
  <si>
    <t>The check-in button seems to always be available, even if it should only be completed at the end of the week.</t>
  </si>
  <si>
    <t>Users should not be able to complete a check-in at the wrong time.</t>
  </si>
  <si>
    <t>I assume the prototype is intended to take place during a reflection time, but it may be helpful to restrict the checkin to take place after the week is over.</t>
  </si>
  <si>
    <t xml:space="preserve">complete within a 24 hour period </t>
  </si>
  <si>
    <t>The weekly check-in feature requires the user to indicate which goals from the previous week they completed</t>
  </si>
  <si>
    <t>I think its redundant and inconvenient to make the user restate what goals they've accomplished when theoretically they've been checking them off as they go throughout the week.</t>
  </si>
  <si>
    <t>in some way as the user is checking off goals, the weekly check-in should "know" which goals the user accomplished and automatically include that data in the check-in</t>
  </si>
  <si>
    <t>we're taking out the goals from the check-ins</t>
  </si>
  <si>
    <t>A user can just continuously click the next button without filling in any of the required information.</t>
  </si>
  <si>
    <t>This would allow users to skip through the weekly check-in because the app doesn't require any of it.</t>
  </si>
  <si>
    <t>Implement a feature that doesn't allow users to go to the next unless they've done the required action (or a skip button if you don't want to require it). This could be through an error message and deactivating the next button.</t>
  </si>
  <si>
    <t>There is a lack of explanation for what the group chat is for, who is in it, and the general guidelines around how to use it</t>
  </si>
  <si>
    <t>When users click into the DM icon on the top right corner of the home page, they enter into the Group Chat page, which only reads "Group Chat" and some previous messages, but it remains unclear how the group chat was generated, what it is used for, and there is also no way for users to see the complete list of group members and general functionality</t>
  </si>
  <si>
    <t>include a description page for the group chat that displays the group members and the community guidelines for the group chat; can also make the icon a part of the major home icons on the home screen to signal that it is an important feature of the app</t>
  </si>
  <si>
    <t>D, A</t>
  </si>
  <si>
    <t>The goals are only visible to the user themselves</t>
  </si>
  <si>
    <t>The values include community and collaboration but only the users can access and view their own goals and there is no way for others from the group to see the goals (other users can only see the check-ins)</t>
  </si>
  <si>
    <t>make the goals visible to other users as well</t>
  </si>
  <si>
    <t xml:space="preserve">The DM/message icon is not representative of the actual content. </t>
  </si>
  <si>
    <t>The icon typically represents the messaging function, but when users click into it, users directly see one single group chat instead of multiple chat windows or the options to message others. The design does not explain the inclusion of only the group chat as the chat function and can be confusing for users who expect to be able to message anyone freely.</t>
  </si>
  <si>
    <t>Instead of just the DM icon, can consider changing into a groupchat DM icon with more human symbols behind to signal the group chat functinoality.</t>
  </si>
  <si>
    <t>C, D, B</t>
  </si>
  <si>
    <t>The profile page is displayed differently for the user themselves and other group members</t>
  </si>
  <si>
    <t>The way that information is displayed is inconsistent: when you click CJ's profile, all you can see is the name, but when you click Grace's profile, you can see what is actually being displayed</t>
  </si>
  <si>
    <t>match CJ's display with Grace's so the user can directly visualize how their profile appears to others</t>
  </si>
  <si>
    <t>D, C, A, B</t>
  </si>
  <si>
    <t>There is no indication of what the group chat is for or a list of members in the group chat</t>
  </si>
  <si>
    <t>There are limited instructions or information displayed on the group chat page, so users have to navigate the page relying on their memory</t>
  </si>
  <si>
    <t>display the group chat name and members in the group chat</t>
  </si>
  <si>
    <t>When creating an account, users cannot go back and edit their previous responses</t>
  </si>
  <si>
    <t>When creating an account, there is no back button, which means that users cannot edit previously entered information</t>
  </si>
  <si>
    <t>add a back button</t>
  </si>
  <si>
    <t>When creating an account, it is unclear which information is required and which is not</t>
  </si>
  <si>
    <t>If there are no indications of what information a user has to enter, then users would end up not entering anything. Also, demographic information like gender, pronouns, and ethnicity should not be required.</t>
  </si>
  <si>
    <t>Make the most important information required, such as name and career interest. Also specify that demographic info is not required.</t>
  </si>
  <si>
    <t>add a required indicator next to the required questions</t>
  </si>
  <si>
    <t>No instruction provided for the upcoming goals and check-ins</t>
  </si>
  <si>
    <t>Users new to the app would not understand the expectations for the goals and check-in functions</t>
  </si>
  <si>
    <t>add instructions</t>
  </si>
  <si>
    <t xml:space="preserve">add more descriptions so new users know what to do </t>
  </si>
  <si>
    <t>The only way users can set goals is on their home page, which is still a very independent and isolated process and does not align with the values of community building and collaboration</t>
  </si>
  <si>
    <t>The app's core values are community and collaboration, but most features are still on the individual home page and are not very interactive with other users</t>
  </si>
  <si>
    <t>Directly incorporate other's feedback into the goals and check-ins</t>
  </si>
  <si>
    <t>The word goal seems to be used to refer to any general task or event.</t>
  </si>
  <si>
    <t>Goals are usually associated with a longer-term purpose, and they usually do not have a strict deadline. The current setup seems more geared towards tasks, and functions more like a to-do list than a goal-setting system.</t>
  </si>
  <si>
    <t>The goal setting interface could pivot more towards the common understanding of a goal, or it could change language to make it clearer what the intent is. It would also be possible to support both goals and events.</t>
  </si>
  <si>
    <t>"task"? "target"?</t>
  </si>
  <si>
    <t>The notification popup that advises you to set a new goal for the week says to click on "set another goal" button. It says "add another goal" on the screen</t>
  </si>
  <si>
    <t>consistency is just less confusing and cleaner for the user</t>
  </si>
  <si>
    <t>have the notification say "add another goal"</t>
  </si>
  <si>
    <t>In the list of upcoming goals one date includes a shortened version of the day of the week ("Tue") and another one includes the full version ("Thursday")</t>
  </si>
  <si>
    <t xml:space="preserve">This inconsistent name convention doesn't seem to fit the design standards. </t>
  </si>
  <si>
    <t>No mechanism is provided to modify a goal once created.</t>
  </si>
  <si>
    <t>The only way to change a goal is to mark it created a make a new one. Aside from the inefficiency, the completion would erroneously be shown to group members.</t>
  </si>
  <si>
    <t>Add an edit interface which would be similar to the "Set Goal" page. A delete option would also be nice.</t>
  </si>
  <si>
    <t>If users accidentally added a goal, there is no support for editing or deleting the goal</t>
  </si>
  <si>
    <t>There is no error prevention for users when adding goals</t>
  </si>
  <si>
    <t>before adding each goal, add a confirmation pop up</t>
  </si>
  <si>
    <t>The display of other users' weekly check-ins are too small</t>
  </si>
  <si>
    <t>Hard to read</t>
  </si>
  <si>
    <t>make the font bigger and also include more graphics/images</t>
  </si>
  <si>
    <t>The interaction between users is limited to a group chat and reading checkin responses.</t>
  </si>
  <si>
    <t>To align with your value of teamwork, the group aspect should be emphasized. Without a clear framework set up for member collaboration, users will not be able to fully benefit from the checkin features.</t>
  </si>
  <si>
    <t>Instead of individual checkins, it could be effective to use discussion questions that allow for conversation between users. Alternatively, allow members to comment on the checkins of others.</t>
  </si>
  <si>
    <t>add comments on check ins</t>
  </si>
  <si>
    <t>Once a user has automatically been assigned a group, it is not possible to switch.</t>
  </si>
  <si>
    <t>Especially since the user does not have a say in group assignment, they may want to leave the group or create a custom group with friends or peers.</t>
  </si>
  <si>
    <t>Include an option for leaving a group, maybe in a settings menu. Custom groups are less important, but could also be nice to allow while applying/reapplying for a group.</t>
  </si>
  <si>
    <t>Viewing a member's profile shows only their upcoming goals and checkin rather than any information about the person.</t>
  </si>
  <si>
    <t xml:space="preserve">All of these details are visible on the group home screen already. Users will expect to see personal information on profile pages. This is also inconsistent with the format of the profile page for the user himself (CJ). </t>
  </si>
  <si>
    <t>Standardize profile pages and remove redundant information.</t>
  </si>
  <si>
    <t>Cannot edit the previous response</t>
  </si>
  <si>
    <t>When completing the check-in, there is no room for mistakes, because if the user made an error and want to change something they would have to restart the process completely</t>
  </si>
  <si>
    <t>Add a back button that is accessible throughout the check-in.</t>
  </si>
  <si>
    <t>already noted</t>
  </si>
  <si>
    <t>4. All Tasks</t>
  </si>
  <si>
    <t>need to make sure the home buttons are always visible and the DM button is not just visible in some selected pages</t>
  </si>
  <si>
    <t>For some pages the DM button and the home buttons are all visible, but for others we can only see the DM button or the home buttons</t>
  </si>
  <si>
    <t>either make them visible on all pages or not visible on the tasks</t>
  </si>
  <si>
    <t>navigation bar isn't always present (not present while in a chat), but will consider consistency in other pages</t>
  </si>
  <si>
    <t>The group goals is not explained</t>
  </si>
  <si>
    <t>Unclear where the "Group Goals" come from and what it means because there is no where on the app that allows the user to edit or add a group goal</t>
  </si>
  <si>
    <t>explain what group goals is and design a separate page for it instead of including it on the home page</t>
  </si>
  <si>
    <t xml:space="preserve">Either put some documentation there or change the label </t>
  </si>
  <si>
    <t>There is a lack of documentation for the DM functionality</t>
  </si>
  <si>
    <t>Without any instruction, it is impossible for users to know what the DM icon represents as well as what users should expect</t>
  </si>
  <si>
    <t>Could add a short description on the side of the icon (so once users tap the icon the instruction shows up)</t>
  </si>
  <si>
    <t>Change button/icon, maybe make it a text button? Put some documentation at the top of the Group Chat page (like "chat with group members")</t>
  </si>
  <si>
    <t>In the group members page, users can still access the DM function but not the home buttons</t>
  </si>
  <si>
    <t>It is unclear why the users can still access the DM function on the group members page but cannot click the two main home icons here</t>
  </si>
  <si>
    <t xml:space="preserve">put the home icons on this page as well so users can directly go back to the home page/friends page </t>
  </si>
  <si>
    <t>D, C</t>
  </si>
  <si>
    <t>Checkins provide extremely granular information about each user (such as the exact goals they completed or did not complete).</t>
  </si>
  <si>
    <t>This level of detail runs a high risk of encouraging comparison rather than collaboration, which is the opposite of your value statement. It would be likely to cause shame when you have a less successful week than a peer.</t>
  </si>
  <si>
    <t>Users should have more control of the information that is shared; lean into voluntary rather than automatic.</t>
  </si>
  <si>
    <t>rethink check-in questions</t>
  </si>
  <si>
    <t>Heuristic</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</si>
  <si>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</si>
  <si>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</si>
  <si>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</si>
  <si>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</si>
  <si>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</si>
  <si>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</si>
  <si>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</si>
  <si>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</si>
  <si>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</si>
  <si>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t>Severity</t>
  </si>
  <si>
    <t>Total (sevs. 3 &amp; 4)</t>
  </si>
  <si>
    <t>Total (all sevs)</t>
  </si>
  <si>
    <r>
      <rPr>
        <rFont val="Arial"/>
        <b/>
        <color theme="1"/>
      </rPr>
      <t xml:space="preserve">Summary Recommendations </t>
    </r>
    <r>
      <rPr>
        <rFont val="Arial"/>
        <b val="0"/>
        <i/>
        <color theme="1"/>
      </rPr>
      <t>[merge the general recommendations you made here]</t>
    </r>
  </si>
  <si>
    <t xml:space="preserve">Great job on your prototype! Below are some suggestions:
Design and layout
 - Simple color palette and highlighting of buttons is nice and clear
 - Include more intuitive visuals to distinguish between the goal-setting section and the check-in section on the Personal Home Page; use different designs/colors to distinguish between the two sections in general 
 - Displaying group check-ins and the group goals on top of each other vertically is not the most intuitive way for users to know the differences between the two types of tasks.
 - We would suggest creating a centralized style guide for consistent formatting/design
 - Asking the user to set new goals in the middle of the check-in makes it feel like the check-in has concluded, this would be much better placed at the end! 
 - The existence of a separate profile page is unnecessary (the one with the bio). It's a screen that isn't really seen anywhere else, when you click on another user's profile you see something very similar to your personal home. If you want it to be more emphasized, we would suggest adding a separate tab in the bottom for it or even a button at the top corner. It seems like having it in settings makes it feel extraneous. And then you’d have to make the profiles of the other people in the group clearly visible as well.
Value alignment
 - The current check-in and group dynamic can encourage competition because it allows users to directly compare to each other. This issue is exacerbated by the amount of specific goal information available about each user as well as the career alignment of the users. Some possible fixes could include leaning more into the thoughts/feelings aspect of check-ins and ensuring that groups are composed of members with different career goals (to reduce comparison).
 - There are very limited interactive functionalities – users should be able to interact with the goals and weekly check-ins and collaboratively draft goals besides just setting their individual goals, which would align more closely with the values of collaboration and community
 - There appears to be no protections for the user in the groupchat. People can be quite terrible at times, and I feel it necessary with any social platform to have your basic block and report functions. 
 - This presents a lot of issues for the group-finding functionality. Could a user find another group? Could a group kick someone out and get randomly assigned another user in their place if they were being hateful? Social networks are really tricky, but I’m sure you’ll find a good way to answer these questions
 - There is no chance to refill the survey. People’s values and personalities change and shift throughout their professional development, yet there is no opportunity to meet other people. If this is not possible then this app has a longevity problem. If things stay exactly the same for the user then nothing really inclines them to stay throughout the entirety of their professional development, or even throughout a large amount of it. 
Error prevention
 - The group goal section is confusing due to the lack of description or instructions. Are they the aggregated individual goals or common goals for the group?
 - There are multiple areas where users can get stuck without the ability to go back or edit previous responses. We would suggest going through each task flow and actively look for potential user errors.
</t>
  </si>
</sst>
</file>

<file path=xl/styles.xml><?xml version="1.0" encoding="utf-8"?>
<styleSheet xmlns="http://schemas.openxmlformats.org/spreadsheetml/2006/main" xmlns:x14ac="http://schemas.microsoft.com/office/spreadsheetml/2009/9/ac" xmlns:mc="http://schemas.openxmlformats.org/markup-compatibility/2006">
  <fonts count="21">
    <font>
      <sz val="10.0"/>
      <color rgb="FF000000"/>
      <name val="Arial"/>
      <scheme val="minor"/>
    </font>
    <font>
      <b/>
      <color theme="1"/>
      <name val="Arial"/>
      <scheme val="minor"/>
    </font>
    <font>
      <color theme="1"/>
      <name val="Arial"/>
      <scheme val="minor"/>
    </font>
    <font>
      <i/>
      <color theme="1"/>
      <name val="Arial"/>
      <scheme val="minor"/>
    </font>
    <font>
      <color rgb="FF434343"/>
      <name val="Roboto"/>
    </font>
    <font>
      <color rgb="FF0A53A8"/>
      <name val="Roboto"/>
    </font>
    <font>
      <color rgb="FF473821"/>
      <name val="Roboto"/>
    </font>
    <font>
      <u/>
      <color rgb="FF434343"/>
      <name val="Roboto"/>
    </font>
    <font>
      <u/>
      <color rgb="FF434343"/>
      <name val="Roboto"/>
    </font>
    <font>
      <color rgb="FFB10202"/>
      <name val="Roboto"/>
    </font>
    <font>
      <u/>
      <color rgb="FF434343"/>
      <name val="Roboto"/>
    </font>
    <font>
      <color rgb="FF753800"/>
      <name val="Roboto"/>
    </font>
    <font>
      <color rgb="FF434343"/>
      <name val="Docs-Roboto"/>
    </font>
    <font>
      <color rgb="FFFFCFC9"/>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i/>
      <color theme="1"/>
      <name val="Arial"/>
    </font>
  </fonts>
  <fills count="11">
    <fill>
      <patternFill patternType="none"/>
    </fill>
    <fill>
      <patternFill patternType="lightGray"/>
    </fill>
    <fill>
      <patternFill patternType="solid">
        <fgColor rgb="FFF3F3F3"/>
        <bgColor rgb="FFF3F3F3"/>
      </patternFill>
    </fill>
    <fill>
      <patternFill patternType="solid">
        <fgColor rgb="FF93C47D"/>
        <bgColor rgb="FF93C47D"/>
      </patternFill>
    </fill>
    <fill>
      <patternFill patternType="solid">
        <fgColor rgb="FFFFE599"/>
        <bgColor rgb="FFFFE599"/>
      </patternFill>
    </fill>
    <fill>
      <patternFill patternType="solid">
        <fgColor rgb="FFEA9999"/>
        <bgColor rgb="FFEA9999"/>
      </patternFill>
    </fill>
    <fill>
      <patternFill patternType="solid">
        <fgColor rgb="FFA4C2F4"/>
        <bgColor rgb="FFA4C2F4"/>
      </patternFill>
    </fill>
    <fill>
      <patternFill patternType="solid">
        <fgColor rgb="FF9FC5E8"/>
        <bgColor rgb="FF9FC5E8"/>
      </patternFill>
    </fill>
    <fill>
      <patternFill patternType="solid">
        <fgColor rgb="FFB6D7A8"/>
        <bgColor rgb="FFB6D7A8"/>
      </patternFill>
    </fill>
    <fill>
      <patternFill patternType="solid">
        <fgColor rgb="FFFFFFFF"/>
        <bgColor rgb="FFFFFFFF"/>
      </patternFill>
    </fill>
    <fill>
      <patternFill patternType="solid">
        <fgColor rgb="FFEFEFEF"/>
        <bgColor rgb="FFEFEFEF"/>
      </patternFill>
    </fill>
  </fills>
  <borders count="29">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FFE599"/>
      </left>
      <right style="thin">
        <color rgb="FFFFE599"/>
      </right>
      <top style="thin">
        <color rgb="FFFFE599"/>
      </top>
      <bottom style="thin">
        <color rgb="FFFFE599"/>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9FC5E8"/>
      </left>
      <right style="thin">
        <color rgb="FF9FC5E8"/>
      </right>
      <top style="thin">
        <color rgb="FF9FC5E8"/>
      </top>
      <bottom style="thin">
        <color rgb="FF9FC5E8"/>
      </bottom>
    </border>
    <border>
      <left style="thin">
        <color rgb="FFB6D7A8"/>
      </left>
      <right style="thin">
        <color rgb="FFB6D7A8"/>
      </right>
      <top style="thin">
        <color rgb="FFB6D7A8"/>
      </top>
      <bottom style="thin">
        <color rgb="FFB6D7A8"/>
      </bottom>
    </border>
    <border>
      <left style="thin">
        <color rgb="FFEA9999"/>
      </left>
      <right style="thin">
        <color rgb="FFEA9999"/>
      </right>
      <top style="thin">
        <color rgb="FFEA9999"/>
      </top>
      <bottom style="thin">
        <color rgb="FFEA9999"/>
      </bottom>
    </border>
    <border>
      <left style="thin">
        <color rgb="FFA4C2F4"/>
      </left>
      <right style="thin">
        <color rgb="FFA4C2F4"/>
      </right>
      <top style="thin">
        <color rgb="FFA4C2F4"/>
      </top>
      <bottom style="thin">
        <color rgb="FFA4C2F4"/>
      </bottom>
    </border>
    <border>
      <left style="thin">
        <color rgb="FF442F65"/>
      </left>
      <right style="thin">
        <color rgb="FFB6D7A8"/>
      </right>
      <top style="thin">
        <color rgb="FFB6D7A8"/>
      </top>
      <bottom style="thin">
        <color rgb="FFB6D7A8"/>
      </bottom>
    </border>
    <border>
      <left style="thin">
        <color rgb="FF442F65"/>
      </left>
      <right style="thin">
        <color rgb="FFEA9999"/>
      </right>
      <top style="thin">
        <color rgb="FFEA9999"/>
      </top>
      <bottom style="thin">
        <color rgb="FFEA9999"/>
      </bottom>
    </border>
    <border>
      <left style="thin">
        <color rgb="FF442F65"/>
      </left>
      <right style="thin">
        <color rgb="FFFFE599"/>
      </right>
      <top style="thin">
        <color rgb="FFFFE599"/>
      </top>
      <bottom style="thin">
        <color rgb="FFFFE599"/>
      </bottom>
    </border>
    <border>
      <left style="thin">
        <color rgb="FF442F65"/>
      </left>
      <right style="thin">
        <color rgb="FFF6F8F9"/>
      </right>
      <top style="thin">
        <color rgb="FFF6F8F9"/>
      </top>
      <bottom style="thin">
        <color rgb="FF442F65"/>
      </bottom>
    </border>
    <border>
      <left style="thin">
        <color rgb="FFF6F8F9"/>
      </left>
      <right style="thin">
        <color rgb="FFF6F8F9"/>
      </right>
      <top style="thin">
        <color rgb="FFF6F8F9"/>
      </top>
      <bottom style="thin">
        <color rgb="FF442F65"/>
      </bottom>
    </border>
    <border>
      <left style="thin">
        <color rgb="FFF6F8F9"/>
      </left>
      <right style="thin">
        <color rgb="FF442F65"/>
      </right>
      <top style="thin">
        <color rgb="FFF6F8F9"/>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82">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wrapText="1"/>
    </xf>
    <xf borderId="0" fillId="0" fontId="2" numFmtId="0" xfId="0" applyAlignment="1" applyFont="1">
      <alignment horizontal="left" readingOrder="0" shrinkToFit="0"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1" numFmtId="0" xfId="0" applyAlignment="1" applyFont="1">
      <alignment horizontal="left" readingOrder="0" shrinkToFit="0" wrapText="1"/>
    </xf>
    <xf borderId="0" fillId="3" fontId="3" numFmtId="0" xfId="0" applyAlignment="1" applyFill="1" applyFont="1">
      <alignment horizontal="left" readingOrder="0" shrinkToFit="0" wrapText="1"/>
    </xf>
    <xf borderId="0" fillId="0" fontId="3" numFmtId="0" xfId="0" applyAlignment="1" applyFont="1">
      <alignment horizontal="left" readingOrder="0" shrinkToFit="0" wrapText="1"/>
    </xf>
    <xf borderId="0" fillId="4" fontId="3" numFmtId="0" xfId="0" applyAlignment="1" applyFill="1" applyFont="1">
      <alignment horizontal="left" readingOrder="0" shrinkToFit="0" wrapText="1"/>
    </xf>
    <xf borderId="0" fillId="5" fontId="3" numFmtId="0" xfId="0" applyAlignment="1" applyFill="1" applyFont="1">
      <alignment horizontal="left" readingOrder="0" shrinkToFit="0" wrapText="1"/>
    </xf>
    <xf borderId="0" fillId="6" fontId="3" numFmtId="0" xfId="0" applyAlignment="1" applyFill="1" applyFont="1">
      <alignment horizontal="left" readingOrder="0" shrinkToFit="0" wrapText="1"/>
    </xf>
    <xf borderId="1" fillId="0" fontId="2" numFmtId="0" xfId="0" applyAlignment="1" applyBorder="1" applyFont="1">
      <alignment horizontal="left" readingOrder="0" shrinkToFit="0" vertical="center" wrapText="1"/>
    </xf>
    <xf borderId="2" fillId="0" fontId="2" numFmtId="0" xfId="0" applyAlignment="1" applyBorder="1" applyFont="1">
      <alignment horizontal="left" readingOrder="0" shrinkToFit="0" vertical="center" wrapText="1"/>
    </xf>
    <xf borderId="3" fillId="0" fontId="2" numFmtId="0" xfId="0" applyAlignment="1" applyBorder="1" applyFont="1">
      <alignment horizontal="left" readingOrder="0" shrinkToFit="0" vertical="center" wrapText="0"/>
    </xf>
    <xf borderId="4" fillId="4" fontId="4" numFmtId="0" xfId="0" applyAlignment="1" applyBorder="1" applyFont="1">
      <alignment horizontal="right" shrinkToFit="0" vertical="center" wrapText="0"/>
    </xf>
    <xf borderId="5" fillId="4" fontId="4" numFmtId="0" xfId="0" applyAlignment="1" applyBorder="1" applyFont="1">
      <alignment shrinkToFit="0" vertical="center" wrapText="0"/>
    </xf>
    <xf borderId="5" fillId="4" fontId="5" numFmtId="0" xfId="0" applyAlignment="1" applyBorder="1" applyFont="1">
      <alignment horizontal="right" shrinkToFit="0" vertical="center" wrapText="0"/>
    </xf>
    <xf borderId="5" fillId="4" fontId="4" numFmtId="49" xfId="0" applyAlignment="1" applyBorder="1" applyFont="1" applyNumberFormat="1">
      <alignment shrinkToFit="0" vertical="center" wrapText="1"/>
    </xf>
    <xf borderId="5" fillId="4" fontId="4" numFmtId="0" xfId="0" applyAlignment="1" applyBorder="1" applyFont="1">
      <alignment shrinkToFit="0" vertical="center" wrapText="1"/>
    </xf>
    <xf borderId="6" fillId="4" fontId="4" numFmtId="0" xfId="0" applyAlignment="1" applyBorder="1" applyFont="1">
      <alignment shrinkToFit="0" vertical="center" wrapText="1"/>
    </xf>
    <xf borderId="7" fillId="4" fontId="2" numFmtId="0" xfId="0" applyAlignment="1" applyBorder="1" applyFont="1">
      <alignment readingOrder="0" shrinkToFit="0" vertical="center" wrapText="0"/>
    </xf>
    <xf borderId="5" fillId="0" fontId="2" numFmtId="0" xfId="0" applyAlignment="1" applyBorder="1" applyFont="1">
      <alignment readingOrder="0" shrinkToFit="0" vertical="center" wrapText="1"/>
    </xf>
    <xf borderId="6" fillId="0" fontId="2" numFmtId="0" xfId="0" applyAlignment="1" applyBorder="1" applyFont="1">
      <alignment readingOrder="0" shrinkToFit="0" vertical="center" wrapText="0"/>
    </xf>
    <xf borderId="8" fillId="7" fontId="4" numFmtId="0" xfId="0" applyAlignment="1" applyBorder="1" applyFill="1" applyFont="1">
      <alignment horizontal="right" shrinkToFit="0" vertical="center" wrapText="0"/>
    </xf>
    <xf borderId="9" fillId="7" fontId="4" numFmtId="0" xfId="0" applyAlignment="1" applyBorder="1" applyFont="1">
      <alignment shrinkToFit="0" vertical="center" wrapText="0"/>
    </xf>
    <xf borderId="9" fillId="7" fontId="6" numFmtId="0" xfId="0" applyAlignment="1" applyBorder="1" applyFont="1">
      <alignment horizontal="right" readingOrder="0" shrinkToFit="0" vertical="center" wrapText="0"/>
    </xf>
    <xf borderId="9" fillId="7" fontId="4" numFmtId="49" xfId="0" applyAlignment="1" applyBorder="1" applyFont="1" applyNumberFormat="1">
      <alignment shrinkToFit="0" vertical="center" wrapText="1"/>
    </xf>
    <xf borderId="9" fillId="7" fontId="4" numFmtId="0" xfId="0" applyAlignment="1" applyBorder="1" applyFont="1">
      <alignment shrinkToFit="0" vertical="center" wrapText="1"/>
    </xf>
    <xf borderId="10" fillId="7" fontId="4" numFmtId="0" xfId="0" applyAlignment="1" applyBorder="1" applyFont="1">
      <alignment readingOrder="0" shrinkToFit="0" vertical="center" wrapText="1"/>
    </xf>
    <xf borderId="11" fillId="7" fontId="2" numFmtId="0" xfId="0" applyAlignment="1" applyBorder="1" applyFont="1">
      <alignment readingOrder="0" shrinkToFit="0" vertical="center" wrapText="0"/>
    </xf>
    <xf borderId="9" fillId="0" fontId="2" numFmtId="0" xfId="0" applyAlignment="1" applyBorder="1" applyFont="1">
      <alignment readingOrder="0" shrinkToFit="0" vertical="center" wrapText="1"/>
    </xf>
    <xf borderId="10" fillId="0" fontId="2" numFmtId="0" xfId="0" applyAlignment="1" applyBorder="1" applyFont="1">
      <alignment readingOrder="0" shrinkToFit="0" vertical="center" wrapText="0"/>
    </xf>
    <xf borderId="4" fillId="8" fontId="4" numFmtId="0" xfId="0" applyAlignment="1" applyBorder="1" applyFill="1" applyFont="1">
      <alignment horizontal="right" shrinkToFit="0" vertical="center" wrapText="0"/>
    </xf>
    <xf borderId="5" fillId="8" fontId="4" numFmtId="0" xfId="0" applyAlignment="1" applyBorder="1" applyFont="1">
      <alignment shrinkToFit="0" vertical="center" wrapText="0"/>
    </xf>
    <xf borderId="5" fillId="8" fontId="6" numFmtId="0" xfId="0" applyAlignment="1" applyBorder="1" applyFont="1">
      <alignment horizontal="right" shrinkToFit="0" vertical="center" wrapText="0"/>
    </xf>
    <xf borderId="5" fillId="8" fontId="7" numFmtId="49" xfId="0" applyAlignment="1" applyBorder="1" applyFont="1" applyNumberFormat="1">
      <alignment shrinkToFit="0" vertical="center" wrapText="1"/>
    </xf>
    <xf borderId="5" fillId="8" fontId="4" numFmtId="0" xfId="0" applyAlignment="1" applyBorder="1" applyFont="1">
      <alignment shrinkToFit="0" vertical="center" wrapText="1"/>
    </xf>
    <xf borderId="6" fillId="8" fontId="4" numFmtId="0" xfId="0" applyAlignment="1" applyBorder="1" applyFont="1">
      <alignment shrinkToFit="0" vertical="center" wrapText="1"/>
    </xf>
    <xf borderId="12" fillId="8" fontId="2" numFmtId="0" xfId="0" applyAlignment="1" applyBorder="1" applyFont="1">
      <alignment readingOrder="0" shrinkToFit="0" vertical="center" wrapText="0"/>
    </xf>
    <xf borderId="8" fillId="8" fontId="4" numFmtId="0" xfId="0" applyAlignment="1" applyBorder="1" applyFont="1">
      <alignment horizontal="right" shrinkToFit="0" vertical="center" wrapText="0"/>
    </xf>
    <xf borderId="9" fillId="8" fontId="4" numFmtId="0" xfId="0" applyAlignment="1" applyBorder="1" applyFont="1">
      <alignment shrinkToFit="0" vertical="center" wrapText="0"/>
    </xf>
    <xf borderId="9" fillId="8" fontId="6" numFmtId="0" xfId="0" applyAlignment="1" applyBorder="1" applyFont="1">
      <alignment horizontal="right" shrinkToFit="0" vertical="center" wrapText="0"/>
    </xf>
    <xf borderId="9" fillId="8" fontId="4" numFmtId="49" xfId="0" applyAlignment="1" applyBorder="1" applyFont="1" applyNumberFormat="1">
      <alignment shrinkToFit="0" vertical="center" wrapText="1"/>
    </xf>
    <xf borderId="9" fillId="8" fontId="4" numFmtId="0" xfId="0" applyAlignment="1" applyBorder="1" applyFont="1">
      <alignment shrinkToFit="0" vertical="center" wrapText="1"/>
    </xf>
    <xf borderId="10" fillId="8" fontId="4" numFmtId="0" xfId="0" applyAlignment="1" applyBorder="1" applyFont="1">
      <alignment shrinkToFit="0" vertical="center" wrapText="1"/>
    </xf>
    <xf borderId="9" fillId="0" fontId="2" numFmtId="0" xfId="0" applyAlignment="1" applyBorder="1" applyFont="1">
      <alignment readingOrder="0" shrinkToFit="0" vertical="center" wrapText="1"/>
    </xf>
    <xf borderId="5" fillId="8" fontId="4" numFmtId="49" xfId="0" applyAlignment="1" applyBorder="1" applyFont="1" applyNumberFormat="1">
      <alignment shrinkToFit="0" vertical="center" wrapText="1"/>
    </xf>
    <xf borderId="5" fillId="0" fontId="2" numFmtId="0" xfId="0" applyAlignment="1" applyBorder="1" applyFont="1">
      <alignment readingOrder="0" shrinkToFit="0" vertical="center" wrapText="1"/>
    </xf>
    <xf borderId="8" fillId="4" fontId="2" numFmtId="0" xfId="0" applyAlignment="1" applyBorder="1" applyFont="1">
      <alignment readingOrder="0" shrinkToFit="0" vertical="center" wrapText="0"/>
    </xf>
    <xf borderId="9" fillId="4" fontId="4" numFmtId="0" xfId="0" applyAlignment="1" applyBorder="1" applyFont="1">
      <alignment shrinkToFit="0" vertical="center" wrapText="0"/>
    </xf>
    <xf borderId="9" fillId="4" fontId="6" numFmtId="0" xfId="0" applyAlignment="1" applyBorder="1" applyFont="1">
      <alignment horizontal="right" shrinkToFit="0" vertical="center" wrapText="0"/>
    </xf>
    <xf borderId="9" fillId="4" fontId="4" numFmtId="49" xfId="0" applyAlignment="1" applyBorder="1" applyFont="1" applyNumberFormat="1">
      <alignment shrinkToFit="0" vertical="center" wrapText="1"/>
    </xf>
    <xf borderId="9" fillId="4" fontId="4" numFmtId="0" xfId="0" applyAlignment="1" applyBorder="1" applyFont="1">
      <alignment shrinkToFit="0" vertical="center" wrapText="1"/>
    </xf>
    <xf borderId="10" fillId="4" fontId="4" numFmtId="0" xfId="0" applyAlignment="1" applyBorder="1" applyFont="1">
      <alignment shrinkToFit="0" vertical="center" wrapText="1"/>
    </xf>
    <xf borderId="9" fillId="0" fontId="2" numFmtId="0" xfId="0" applyAlignment="1" applyBorder="1" applyFont="1">
      <alignment readingOrder="0" shrinkToFit="0" vertical="center" wrapText="1"/>
    </xf>
    <xf borderId="5" fillId="0" fontId="2" numFmtId="0" xfId="0" applyAlignment="1" applyBorder="1" applyFont="1">
      <alignment readingOrder="0" shrinkToFit="0" vertical="center" wrapText="1"/>
    </xf>
    <xf borderId="9" fillId="0" fontId="2" numFmtId="0" xfId="0" applyAlignment="1" applyBorder="1" applyFont="1">
      <alignment readingOrder="0" shrinkToFit="0" vertical="center" wrapText="1"/>
    </xf>
    <xf borderId="5" fillId="4" fontId="6" numFmtId="0" xfId="0" applyAlignment="1" applyBorder="1" applyFont="1">
      <alignment horizontal="right" shrinkToFit="0" vertical="center" wrapText="0"/>
    </xf>
    <xf borderId="8" fillId="5" fontId="2" numFmtId="0" xfId="0" applyAlignment="1" applyBorder="1" applyFont="1">
      <alignment readingOrder="0" shrinkToFit="0" vertical="center" wrapText="0"/>
    </xf>
    <xf borderId="9" fillId="5" fontId="4" numFmtId="0" xfId="0" applyAlignment="1" applyBorder="1" applyFont="1">
      <alignment shrinkToFit="0" vertical="center" wrapText="0"/>
    </xf>
    <xf borderId="9" fillId="5" fontId="6" numFmtId="0" xfId="0" applyAlignment="1" applyBorder="1" applyFont="1">
      <alignment horizontal="right" shrinkToFit="0" vertical="center" wrapText="0"/>
    </xf>
    <xf borderId="9" fillId="5" fontId="8" numFmtId="49" xfId="0" applyAlignment="1" applyBorder="1" applyFont="1" applyNumberFormat="1">
      <alignment shrinkToFit="0" vertical="center" wrapText="1"/>
    </xf>
    <xf borderId="9" fillId="5" fontId="4" numFmtId="0" xfId="0" applyAlignment="1" applyBorder="1" applyFont="1">
      <alignment shrinkToFit="0" vertical="center" wrapText="1"/>
    </xf>
    <xf borderId="10" fillId="5" fontId="4" numFmtId="0" xfId="0" applyAlignment="1" applyBorder="1" applyFont="1">
      <alignment shrinkToFit="0" vertical="center" wrapText="1"/>
    </xf>
    <xf borderId="13" fillId="5" fontId="2" numFmtId="0" xfId="0" applyAlignment="1" applyBorder="1" applyFont="1">
      <alignment readingOrder="0" shrinkToFit="0" vertical="center" wrapText="0"/>
    </xf>
    <xf borderId="9" fillId="0" fontId="2" numFmtId="0" xfId="0" applyAlignment="1" applyBorder="1" applyFont="1">
      <alignment readingOrder="0" shrinkToFit="0" vertical="center" wrapText="1"/>
    </xf>
    <xf borderId="4" fillId="8" fontId="2" numFmtId="0" xfId="0" applyAlignment="1" applyBorder="1" applyFont="1">
      <alignment readingOrder="0" shrinkToFit="0" vertical="center" wrapText="0"/>
    </xf>
    <xf borderId="8" fillId="6" fontId="2" numFmtId="0" xfId="0" applyAlignment="1" applyBorder="1" applyFont="1">
      <alignment readingOrder="0" shrinkToFit="0" vertical="center" wrapText="0"/>
    </xf>
    <xf borderId="9" fillId="6" fontId="4" numFmtId="0" xfId="0" applyAlignment="1" applyBorder="1" applyFont="1">
      <alignment shrinkToFit="0" vertical="center" wrapText="0"/>
    </xf>
    <xf borderId="9" fillId="6" fontId="9" numFmtId="0" xfId="0" applyAlignment="1" applyBorder="1" applyFont="1">
      <alignment horizontal="right" readingOrder="0" shrinkToFit="0" vertical="center" wrapText="0"/>
    </xf>
    <xf borderId="9" fillId="6" fontId="10" numFmtId="49" xfId="0" applyAlignment="1" applyBorder="1" applyFont="1" applyNumberFormat="1">
      <alignment shrinkToFit="0" vertical="center" wrapText="1"/>
    </xf>
    <xf borderId="9" fillId="6" fontId="4" numFmtId="0" xfId="0" applyAlignment="1" applyBorder="1" applyFont="1">
      <alignment shrinkToFit="0" vertical="center" wrapText="1"/>
    </xf>
    <xf borderId="10" fillId="6" fontId="4" numFmtId="0" xfId="0" applyAlignment="1" applyBorder="1" applyFont="1">
      <alignment shrinkToFit="0" vertical="center" wrapText="1"/>
    </xf>
    <xf borderId="14" fillId="6" fontId="2" numFmtId="0" xfId="0" applyAlignment="1" applyBorder="1" applyFont="1">
      <alignment readingOrder="0" shrinkToFit="0" vertical="center" wrapText="0"/>
    </xf>
    <xf borderId="5" fillId="4" fontId="6" numFmtId="0" xfId="0" applyAlignment="1" applyBorder="1" applyFont="1">
      <alignment horizontal="right" shrinkToFit="0" vertical="center" wrapText="0"/>
    </xf>
    <xf borderId="5" fillId="0" fontId="2" numFmtId="0" xfId="0" applyAlignment="1" applyBorder="1" applyFont="1">
      <alignment readingOrder="0" shrinkToFit="0" vertical="center" wrapText="1"/>
    </xf>
    <xf borderId="8" fillId="4" fontId="4" numFmtId="0" xfId="0" applyAlignment="1" applyBorder="1" applyFont="1">
      <alignment horizontal="right" shrinkToFit="0" vertical="center" wrapText="0"/>
    </xf>
    <xf borderId="4" fillId="5" fontId="4" numFmtId="0" xfId="0" applyAlignment="1" applyBorder="1" applyFont="1">
      <alignment horizontal="right" shrinkToFit="0" vertical="center" wrapText="0"/>
    </xf>
    <xf borderId="5" fillId="5" fontId="4" numFmtId="0" xfId="0" applyAlignment="1" applyBorder="1" applyFont="1">
      <alignment shrinkToFit="0" vertical="center" wrapText="0"/>
    </xf>
    <xf borderId="5" fillId="5" fontId="6" numFmtId="0" xfId="0" applyAlignment="1" applyBorder="1" applyFont="1">
      <alignment horizontal="right" shrinkToFit="0" vertical="center" wrapText="0"/>
    </xf>
    <xf borderId="5" fillId="5" fontId="4" numFmtId="49" xfId="0" applyAlignment="1" applyBorder="1" applyFont="1" applyNumberFormat="1">
      <alignment shrinkToFit="0" vertical="center" wrapText="1"/>
    </xf>
    <xf borderId="5" fillId="5" fontId="4" numFmtId="0" xfId="0" applyAlignment="1" applyBorder="1" applyFont="1">
      <alignment shrinkToFit="0" vertical="center" wrapText="1"/>
    </xf>
    <xf borderId="6" fillId="5" fontId="4" numFmtId="0" xfId="0" applyAlignment="1" applyBorder="1" applyFont="1">
      <alignment shrinkToFit="0" vertical="center" wrapText="1"/>
    </xf>
    <xf borderId="8" fillId="6" fontId="4" numFmtId="0" xfId="0" applyAlignment="1" applyBorder="1" applyFont="1">
      <alignment horizontal="right" shrinkToFit="0" vertical="center" wrapText="0"/>
    </xf>
    <xf borderId="9" fillId="6" fontId="6" numFmtId="0" xfId="0" applyAlignment="1" applyBorder="1" applyFont="1">
      <alignment horizontal="right" shrinkToFit="0" vertical="center" wrapText="0"/>
    </xf>
    <xf borderId="9" fillId="6" fontId="4" numFmtId="49" xfId="0" applyAlignment="1" applyBorder="1" applyFont="1" applyNumberFormat="1">
      <alignment shrinkToFit="0" vertical="center" wrapText="1"/>
    </xf>
    <xf borderId="5" fillId="8" fontId="11" numFmtId="0" xfId="0" applyAlignment="1" applyBorder="1" applyFont="1">
      <alignment horizontal="right" shrinkToFit="0" vertical="center" wrapText="0"/>
    </xf>
    <xf borderId="9" fillId="8" fontId="11" numFmtId="0" xfId="0" applyAlignment="1" applyBorder="1" applyFont="1">
      <alignment horizontal="right" shrinkToFit="0" vertical="center" wrapText="0"/>
    </xf>
    <xf borderId="4" fillId="4" fontId="2" numFmtId="0" xfId="0" applyAlignment="1" applyBorder="1" applyFont="1">
      <alignment readingOrder="0" shrinkToFit="0" vertical="center" wrapText="0"/>
    </xf>
    <xf borderId="5" fillId="4" fontId="11" numFmtId="0" xfId="0" applyAlignment="1" applyBorder="1" applyFont="1">
      <alignment horizontal="right" shrinkToFit="0" vertical="center" wrapText="0"/>
    </xf>
    <xf borderId="8" fillId="5" fontId="4" numFmtId="0" xfId="0" applyAlignment="1" applyBorder="1" applyFont="1">
      <alignment horizontal="right" shrinkToFit="0" vertical="center" wrapText="0"/>
    </xf>
    <xf borderId="9" fillId="5" fontId="11" numFmtId="0" xfId="0" applyAlignment="1" applyBorder="1" applyFont="1">
      <alignment horizontal="right" shrinkToFit="0" vertical="center" wrapText="0"/>
    </xf>
    <xf borderId="9" fillId="5" fontId="4" numFmtId="49" xfId="0" applyAlignment="1" applyBorder="1" applyFont="1" applyNumberFormat="1">
      <alignment shrinkToFit="0" vertical="center" wrapText="1"/>
    </xf>
    <xf borderId="8" fillId="8" fontId="2" numFmtId="0" xfId="0" applyAlignment="1" applyBorder="1" applyFont="1">
      <alignment readingOrder="0" shrinkToFit="0" vertical="center" wrapText="0"/>
    </xf>
    <xf borderId="5" fillId="8" fontId="11" numFmtId="0" xfId="0" applyAlignment="1" applyBorder="1" applyFont="1">
      <alignment horizontal="right" shrinkToFit="0" vertical="center" wrapText="0"/>
    </xf>
    <xf borderId="9" fillId="6" fontId="11" numFmtId="0" xfId="0" applyAlignment="1" applyBorder="1" applyFont="1">
      <alignment horizontal="right" shrinkToFit="0" vertical="center" wrapText="0"/>
    </xf>
    <xf borderId="13" fillId="5" fontId="4" numFmtId="0" xfId="0" applyAlignment="1" applyBorder="1" applyFont="1">
      <alignment shrinkToFit="0" vertical="center" wrapText="1"/>
    </xf>
    <xf borderId="15" fillId="8" fontId="4" numFmtId="0" xfId="0" applyAlignment="1" applyBorder="1" applyFont="1">
      <alignment horizontal="right" shrinkToFit="0" vertical="center" wrapText="0"/>
    </xf>
    <xf borderId="9" fillId="8" fontId="4" numFmtId="0" xfId="0" applyAlignment="1" applyBorder="1" applyFont="1">
      <alignment shrinkToFit="0" vertical="center" wrapText="0"/>
    </xf>
    <xf borderId="9" fillId="8" fontId="4" numFmtId="0" xfId="0" applyAlignment="1" applyBorder="1" applyFont="1">
      <alignment shrinkToFit="0" vertical="center" wrapText="1"/>
    </xf>
    <xf borderId="4" fillId="6" fontId="4" numFmtId="0" xfId="0" applyAlignment="1" applyBorder="1" applyFont="1">
      <alignment horizontal="right" shrinkToFit="0" vertical="center" wrapText="0"/>
    </xf>
    <xf borderId="5" fillId="6" fontId="4" numFmtId="0" xfId="0" applyAlignment="1" applyBorder="1" applyFont="1">
      <alignment shrinkToFit="0" vertical="center" wrapText="0"/>
    </xf>
    <xf borderId="5" fillId="6" fontId="11" numFmtId="0" xfId="0" applyAlignment="1" applyBorder="1" applyFont="1">
      <alignment horizontal="right" shrinkToFit="0" vertical="center" wrapText="0"/>
    </xf>
    <xf borderId="5" fillId="6" fontId="4" numFmtId="49" xfId="0" applyAlignment="1" applyBorder="1" applyFont="1" applyNumberFormat="1">
      <alignment shrinkToFit="0" vertical="center" wrapText="1"/>
    </xf>
    <xf borderId="5" fillId="6" fontId="4" numFmtId="0" xfId="0" applyAlignment="1" applyBorder="1" applyFont="1">
      <alignment shrinkToFit="0" vertical="center" wrapText="1"/>
    </xf>
    <xf borderId="6" fillId="6" fontId="4" numFmtId="0" xfId="0" applyAlignment="1" applyBorder="1" applyFont="1">
      <alignment shrinkToFit="0" vertical="center" wrapText="1"/>
    </xf>
    <xf borderId="9" fillId="8" fontId="11" numFmtId="0" xfId="0" applyAlignment="1" applyBorder="1" applyFont="1">
      <alignment horizontal="right" shrinkToFit="0" vertical="center" wrapText="0"/>
    </xf>
    <xf borderId="9" fillId="8" fontId="12" numFmtId="0" xfId="0" applyAlignment="1" applyBorder="1" applyFont="1">
      <alignment shrinkToFit="0" vertical="center" wrapText="1"/>
    </xf>
    <xf borderId="5" fillId="5" fontId="9" numFmtId="0" xfId="0" applyAlignment="1" applyBorder="1" applyFont="1">
      <alignment horizontal="right" shrinkToFit="0" vertical="center" wrapText="0"/>
    </xf>
    <xf borderId="9" fillId="8" fontId="9" numFmtId="0" xfId="0" applyAlignment="1" applyBorder="1" applyFont="1">
      <alignment horizontal="right" shrinkToFit="0" vertical="center" wrapText="0"/>
    </xf>
    <xf borderId="9" fillId="8" fontId="4" numFmtId="0" xfId="0" applyAlignment="1" applyBorder="1" applyFont="1">
      <alignment readingOrder="0" shrinkToFit="0" vertical="center" wrapText="1"/>
    </xf>
    <xf borderId="10" fillId="8" fontId="4" numFmtId="0" xfId="0" applyAlignment="1" applyBorder="1" applyFont="1">
      <alignment readingOrder="0" shrinkToFit="0" vertical="center" wrapText="1"/>
    </xf>
    <xf borderId="5" fillId="8" fontId="9" numFmtId="0" xfId="0" applyAlignment="1" applyBorder="1" applyFont="1">
      <alignment horizontal="right" shrinkToFit="0" vertical="center" wrapText="0"/>
    </xf>
    <xf borderId="9" fillId="5" fontId="9" numFmtId="0" xfId="0" applyAlignment="1" applyBorder="1" applyFont="1">
      <alignment horizontal="right" shrinkToFit="0" vertical="center" wrapText="0"/>
    </xf>
    <xf borderId="10" fillId="8" fontId="2" numFmtId="0" xfId="0" applyAlignment="1" applyBorder="1" applyFont="1">
      <alignment readingOrder="0" shrinkToFit="0" vertical="center" wrapText="1"/>
    </xf>
    <xf borderId="5" fillId="8" fontId="11" numFmtId="0" xfId="0" applyAlignment="1" applyBorder="1" applyFont="1">
      <alignment horizontal="right" readingOrder="0" shrinkToFit="0" vertical="center" wrapText="0"/>
    </xf>
    <xf borderId="16" fillId="5" fontId="4" numFmtId="0" xfId="0" applyAlignment="1" applyBorder="1" applyFont="1">
      <alignment horizontal="right" shrinkToFit="0" vertical="center" wrapText="0"/>
    </xf>
    <xf borderId="5" fillId="8" fontId="4" numFmtId="49" xfId="0" applyAlignment="1" applyBorder="1" applyFont="1" applyNumberFormat="1">
      <alignment readingOrder="0" shrinkToFit="0" vertical="center" wrapText="1"/>
    </xf>
    <xf borderId="5" fillId="8" fontId="4" numFmtId="0" xfId="0" applyAlignment="1" applyBorder="1" applyFont="1">
      <alignment readingOrder="0" shrinkToFit="0" vertical="center" wrapText="1"/>
    </xf>
    <xf borderId="6" fillId="8" fontId="4" numFmtId="0" xfId="0" applyAlignment="1" applyBorder="1" applyFont="1">
      <alignment readingOrder="0" shrinkToFit="0" vertical="center" wrapText="1"/>
    </xf>
    <xf borderId="17" fillId="4" fontId="4" numFmtId="0" xfId="0" applyAlignment="1" applyBorder="1" applyFont="1">
      <alignment horizontal="right" shrinkToFit="0" vertical="center" wrapText="0"/>
    </xf>
    <xf borderId="9" fillId="4" fontId="9" numFmtId="0" xfId="0" applyAlignment="1" applyBorder="1" applyFont="1">
      <alignment horizontal="right" shrinkToFit="0" vertical="center" wrapText="0"/>
    </xf>
    <xf borderId="9" fillId="8" fontId="13" numFmtId="0" xfId="0" applyAlignment="1" applyBorder="1" applyFont="1">
      <alignment horizontal="right" readingOrder="0" shrinkToFit="0" vertical="center" wrapText="0"/>
    </xf>
    <xf borderId="9" fillId="8" fontId="9" numFmtId="0" xfId="0" applyAlignment="1" applyBorder="1" applyFont="1">
      <alignment horizontal="right" shrinkToFit="0" vertical="center" wrapText="0"/>
    </xf>
    <xf borderId="5" fillId="8" fontId="13" numFmtId="0" xfId="0" applyAlignment="1" applyBorder="1" applyFont="1">
      <alignment horizontal="right" shrinkToFit="0" vertical="center" wrapText="0"/>
    </xf>
    <xf borderId="8" fillId="0" fontId="2" numFmtId="0" xfId="0" applyAlignment="1" applyBorder="1" applyFont="1">
      <alignment readingOrder="0" shrinkToFit="0" vertical="center" wrapText="0"/>
    </xf>
    <xf borderId="9" fillId="0" fontId="2" numFmtId="0" xfId="0" applyAlignment="1" applyBorder="1" applyFont="1">
      <alignment shrinkToFit="0" vertical="center" wrapText="0"/>
    </xf>
    <xf borderId="9" fillId="0" fontId="2" numFmtId="0" xfId="0" applyAlignment="1" applyBorder="1" applyFont="1">
      <alignment shrinkToFit="0" vertical="center" wrapText="0"/>
    </xf>
    <xf borderId="9" fillId="0" fontId="2" numFmtId="49" xfId="0" applyAlignment="1" applyBorder="1" applyFont="1" applyNumberFormat="1">
      <alignment shrinkToFit="0" vertical="center" wrapText="1"/>
    </xf>
    <xf borderId="9" fillId="0" fontId="2" numFmtId="0" xfId="0" applyAlignment="1" applyBorder="1" applyFont="1">
      <alignment shrinkToFit="0" vertical="center" wrapText="1"/>
    </xf>
    <xf borderId="9" fillId="0" fontId="2" numFmtId="0" xfId="0" applyAlignment="1" applyBorder="1" applyFont="1">
      <alignment shrinkToFit="0" vertical="center" wrapText="0"/>
    </xf>
    <xf borderId="9" fillId="0" fontId="2" numFmtId="0" xfId="0" applyAlignment="1" applyBorder="1" applyFont="1">
      <alignment shrinkToFit="0" vertical="center" wrapText="0"/>
    </xf>
    <xf borderId="10" fillId="0" fontId="2" numFmtId="0" xfId="0" applyAlignment="1" applyBorder="1" applyFont="1">
      <alignment shrinkToFit="0" vertical="center" wrapText="0"/>
    </xf>
    <xf borderId="4" fillId="0" fontId="2" numFmtId="0" xfId="0" applyAlignment="1" applyBorder="1" applyFont="1">
      <alignment readingOrder="0" shrinkToFit="0" vertical="center" wrapText="0"/>
    </xf>
    <xf borderId="5" fillId="0" fontId="2" numFmtId="0" xfId="0" applyAlignment="1" applyBorder="1" applyFont="1">
      <alignment shrinkToFit="0" vertical="center" wrapText="0"/>
    </xf>
    <xf borderId="5" fillId="0" fontId="2" numFmtId="0" xfId="0" applyAlignment="1" applyBorder="1" applyFont="1">
      <alignment shrinkToFit="0" vertical="center" wrapText="0"/>
    </xf>
    <xf borderId="5" fillId="0" fontId="2" numFmtId="49" xfId="0" applyAlignment="1" applyBorder="1" applyFont="1" applyNumberFormat="1">
      <alignment shrinkToFit="0" vertical="center" wrapText="1"/>
    </xf>
    <xf borderId="5" fillId="0" fontId="2" numFmtId="0" xfId="0" applyAlignment="1" applyBorder="1" applyFont="1">
      <alignment shrinkToFit="0" vertical="center" wrapText="1"/>
    </xf>
    <xf borderId="5" fillId="0" fontId="2" numFmtId="0" xfId="0" applyAlignment="1" applyBorder="1" applyFont="1">
      <alignment shrinkToFit="0" vertical="center" wrapText="0"/>
    </xf>
    <xf borderId="5" fillId="0" fontId="2" numFmtId="0" xfId="0" applyAlignment="1" applyBorder="1" applyFont="1">
      <alignment shrinkToFit="0" vertical="center" wrapText="0"/>
    </xf>
    <xf borderId="6" fillId="0" fontId="2" numFmtId="0" xfId="0" applyAlignment="1" applyBorder="1" applyFont="1">
      <alignment shrinkToFit="0" vertical="center" wrapText="0"/>
    </xf>
    <xf borderId="18" fillId="0" fontId="2" numFmtId="0" xfId="0" applyAlignment="1" applyBorder="1" applyFont="1">
      <alignment readingOrder="0" shrinkToFit="0" vertical="center" wrapText="0"/>
    </xf>
    <xf borderId="19" fillId="0" fontId="2" numFmtId="0" xfId="0" applyAlignment="1" applyBorder="1" applyFont="1">
      <alignment shrinkToFit="0" vertical="center" wrapText="0"/>
    </xf>
    <xf borderId="19" fillId="0" fontId="2" numFmtId="0" xfId="0" applyAlignment="1" applyBorder="1" applyFont="1">
      <alignment shrinkToFit="0" vertical="center" wrapText="0"/>
    </xf>
    <xf borderId="19" fillId="0" fontId="2" numFmtId="49" xfId="0" applyAlignment="1" applyBorder="1" applyFont="1" applyNumberFormat="1">
      <alignment shrinkToFit="0" vertical="center" wrapText="1"/>
    </xf>
    <xf borderId="19" fillId="0" fontId="2" numFmtId="0" xfId="0" applyAlignment="1" applyBorder="1" applyFont="1">
      <alignment shrinkToFit="0" vertical="center" wrapText="1"/>
    </xf>
    <xf borderId="19" fillId="0" fontId="2" numFmtId="0" xfId="0" applyAlignment="1" applyBorder="1" applyFont="1">
      <alignment shrinkToFit="0" vertical="center" wrapText="0"/>
    </xf>
    <xf borderId="19" fillId="0" fontId="2" numFmtId="0" xfId="0" applyAlignment="1" applyBorder="1" applyFont="1">
      <alignment shrinkToFit="0" vertical="center" wrapText="0"/>
    </xf>
    <xf borderId="20" fillId="0" fontId="2" numFmtId="0" xfId="0" applyAlignment="1" applyBorder="1" applyFont="1">
      <alignment shrinkToFit="0" vertical="center" wrapText="0"/>
    </xf>
    <xf borderId="21" fillId="2" fontId="1" numFmtId="0" xfId="0" applyAlignment="1" applyBorder="1" applyFont="1">
      <alignment readingOrder="0"/>
    </xf>
    <xf borderId="22" fillId="2" fontId="14" numFmtId="0" xfId="0" applyAlignment="1" applyBorder="1" applyFont="1">
      <alignment horizontal="left" readingOrder="0" shrinkToFit="0" wrapText="1"/>
    </xf>
    <xf borderId="23" fillId="2" fontId="14" numFmtId="0" xfId="0" applyAlignment="1" applyBorder="1" applyFont="1">
      <alignment horizontal="left" readingOrder="0" shrinkToFit="0" wrapText="1"/>
    </xf>
    <xf borderId="0" fillId="0" fontId="1" numFmtId="0" xfId="0" applyAlignment="1" applyFont="1">
      <alignment readingOrder="0"/>
    </xf>
    <xf borderId="24" fillId="0" fontId="0" numFmtId="0" xfId="0" applyAlignment="1" applyBorder="1" applyFont="1">
      <alignment readingOrder="0"/>
    </xf>
    <xf borderId="0" fillId="0" fontId="15" numFmtId="0" xfId="0" applyFont="1"/>
    <xf borderId="0" fillId="9" fontId="16" numFmtId="0" xfId="0" applyFill="1" applyFont="1"/>
    <xf borderId="25" fillId="0" fontId="15" numFmtId="0" xfId="0" applyBorder="1" applyFont="1"/>
    <xf borderId="24" fillId="0" fontId="0" numFmtId="0" xfId="0" applyAlignment="1" applyBorder="1" applyFont="1">
      <alignment horizontal="left" readingOrder="0" shrinkToFit="0" wrapText="1"/>
    </xf>
    <xf borderId="25" fillId="9" fontId="16" numFmtId="0" xfId="0" applyBorder="1" applyFont="1"/>
    <xf borderId="0" fillId="9" fontId="17" numFmtId="0" xfId="0" applyFont="1"/>
    <xf borderId="26" fillId="0" fontId="1" numFmtId="0" xfId="0" applyAlignment="1" applyBorder="1" applyFont="1">
      <alignment readingOrder="0"/>
    </xf>
    <xf borderId="27" fillId="0" fontId="15" numFmtId="0" xfId="0" applyBorder="1" applyFont="1"/>
    <xf borderId="28" fillId="0" fontId="15" numFmtId="0" xfId="0" applyBorder="1" applyFont="1"/>
    <xf borderId="0" fillId="0" fontId="18" numFmtId="0" xfId="0" applyAlignment="1" applyFont="1">
      <alignment vertical="bottom"/>
    </xf>
    <xf borderId="0" fillId="0" fontId="18" numFmtId="0" xfId="0" applyAlignment="1" applyFont="1">
      <alignment readingOrder="0" vertical="bottom"/>
    </xf>
    <xf borderId="0" fillId="0" fontId="3" numFmtId="0" xfId="0" applyAlignment="1" applyFont="1">
      <alignment horizontal="center" readingOrder="0"/>
    </xf>
    <xf borderId="0" fillId="2" fontId="1" numFmtId="0" xfId="0" applyAlignment="1" applyFont="1">
      <alignment horizontal="center" readingOrder="0"/>
    </xf>
    <xf borderId="0" fillId="0" fontId="2" numFmtId="0" xfId="0" applyAlignment="1" applyFont="1">
      <alignment readingOrder="0"/>
    </xf>
    <xf borderId="0" fillId="9" fontId="17" numFmtId="0" xfId="0" applyAlignment="1" applyFont="1">
      <alignment horizontal="left"/>
    </xf>
    <xf borderId="0" fillId="0" fontId="2" numFmtId="0" xfId="0" applyFont="1"/>
    <xf borderId="21" fillId="10" fontId="18" numFmtId="0" xfId="0" applyAlignment="1" applyBorder="1" applyFill="1" applyFont="1">
      <alignment readingOrder="0" vertical="bottom"/>
    </xf>
    <xf borderId="22" fillId="0" fontId="19" numFmtId="0" xfId="0" applyBorder="1" applyFont="1"/>
    <xf borderId="23" fillId="0" fontId="19" numFmtId="0" xfId="0" applyBorder="1" applyFont="1"/>
    <xf borderId="24" fillId="0" fontId="20" numFmtId="0" xfId="0" applyAlignment="1" applyBorder="1" applyFont="1">
      <alignment readingOrder="0" shrinkToFit="0" vertical="top" wrapText="1"/>
    </xf>
    <xf borderId="25" fillId="0" fontId="19" numFmtId="0" xfId="0" applyBorder="1" applyFont="1"/>
    <xf borderId="0" fillId="0" fontId="20" numFmtId="0" xfId="0" applyAlignment="1" applyFont="1">
      <alignment readingOrder="0" shrinkToFit="0" vertical="bottom" wrapText="1"/>
    </xf>
    <xf borderId="24" fillId="0" fontId="19" numFmtId="0" xfId="0" applyBorder="1" applyFont="1"/>
    <xf borderId="0" fillId="0" fontId="20" numFmtId="0" xfId="0" applyAlignment="1" applyFont="1">
      <alignment readingOrder="0" shrinkToFit="0" vertical="top" wrapText="1"/>
    </xf>
    <xf borderId="26" fillId="0" fontId="19" numFmtId="0" xfId="0" applyBorder="1" applyFont="1"/>
    <xf borderId="27" fillId="0" fontId="19" numFmtId="0" xfId="0" applyBorder="1" applyFont="1"/>
    <xf borderId="28" fillId="0" fontId="19" numFmtId="0" xfId="0" applyBorder="1" applyFont="1"/>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J94" displayName="Group_Heuristic_Evaluations" name="Group_Heuristic_Evaluations" id="1">
  <autoFilter ref="$A$10:$J$94"/>
  <tableColumns count="10">
    <tableColumn name="Problem #" id="1"/>
    <tableColumn name="Column 2" id="2"/>
    <tableColumn name="Column 3" id="3"/>
    <tableColumn name="Column 4" id="4"/>
    <tableColumn name="Column 5" id="5"/>
    <tableColumn name="Column 6" id="6"/>
    <tableColumn name="Column 7" id="7"/>
    <tableColumn name="Column 8" id="8"/>
    <tableColumn name="Notes: " id="9"/>
    <tableColumn name="Implemented status:" id="10"/>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ocs.google.com/document/d/1B687qAchl9vbSiONfpRO-Tn18AH-gRrjBlVQoNuldnc/edit?usp=sharing" TargetMode="External"/><Relationship Id="rId2" Type="http://schemas.openxmlformats.org/officeDocument/2006/relationships/hyperlink" Target="https://docs.google.com/document/d/1B687qAchl9vbSiONfpRO-Tn18AH-gRrjBlVQoNuldnc/edit?usp=sharing" TargetMode="External"/><Relationship Id="rId3" Type="http://schemas.openxmlformats.org/officeDocument/2006/relationships/hyperlink" Target="https://docs.google.com/document/d/1B687qAchl9vbSiONfpRO-Tn18AH-gRrjBlVQoNuldnc/edit?usp=sharing" TargetMode="External"/><Relationship Id="rId4" Type="http://schemas.openxmlformats.org/officeDocument/2006/relationships/hyperlink" Target="https://docs.google.com/document/d/1B687qAchl9vbSiONfpRO-Tn18AH-gRrjBlVQoNuldnc/edit?usp=sharing" TargetMode="External"/><Relationship Id="rId5" Type="http://schemas.openxmlformats.org/officeDocument/2006/relationships/hyperlink" Target="https://docs.google.com/document/d/1B687qAchl9vbSiONfpRO-Tn18AH-gRrjBlVQoNuldnc/edit?usp=sharing" TargetMode="External"/><Relationship Id="rId6" Type="http://schemas.openxmlformats.org/officeDocument/2006/relationships/drawing" Target="../drawings/drawing1.xml"/><Relationship Id="rId8"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13.25"/>
    <col customWidth="1" min="2" max="2" width="30.13"/>
    <col customWidth="1" min="3" max="9" width="22.63"/>
    <col customWidth="1" min="10" max="10" width="24.0"/>
    <col customWidth="1" min="11" max="11" width="15.13"/>
  </cols>
  <sheetData>
    <row r="1">
      <c r="A1" s="1" t="s">
        <v>0</v>
      </c>
      <c r="B1" s="2" t="s">
        <v>1</v>
      </c>
      <c r="F1" s="3"/>
      <c r="G1" s="3"/>
    </row>
    <row r="2">
      <c r="A2" s="3"/>
      <c r="B2" s="3"/>
      <c r="C2" s="3"/>
      <c r="D2" s="3"/>
      <c r="E2" s="3"/>
      <c r="F2" s="3"/>
      <c r="G2" s="3"/>
    </row>
    <row r="3">
      <c r="A3" s="3"/>
      <c r="B3" s="3"/>
      <c r="C3" s="3"/>
      <c r="D3" s="4"/>
      <c r="F3" s="3"/>
      <c r="G3" s="3"/>
    </row>
    <row r="4">
      <c r="A4" s="5" t="s">
        <v>2</v>
      </c>
      <c r="B4" s="4" t="s">
        <v>3</v>
      </c>
      <c r="C4" s="4"/>
      <c r="D4" s="6"/>
      <c r="E4" s="7" t="s">
        <v>4</v>
      </c>
      <c r="F4" s="8"/>
      <c r="G4" s="3"/>
    </row>
    <row r="5">
      <c r="A5" s="5" t="s">
        <v>5</v>
      </c>
      <c r="B5" s="4" t="s">
        <v>6</v>
      </c>
      <c r="C5" s="4"/>
      <c r="D5" s="6"/>
      <c r="E5" s="9" t="s">
        <v>7</v>
      </c>
      <c r="F5" s="8"/>
      <c r="G5" s="3"/>
    </row>
    <row r="6">
      <c r="A6" s="5" t="s">
        <v>8</v>
      </c>
      <c r="B6" s="4" t="s">
        <v>9</v>
      </c>
      <c r="C6" s="4"/>
      <c r="D6" s="6"/>
      <c r="E6" s="10" t="s">
        <v>10</v>
      </c>
      <c r="F6" s="8"/>
      <c r="G6" s="3"/>
    </row>
    <row r="7">
      <c r="A7" s="3"/>
      <c r="B7" s="3"/>
      <c r="C7" s="3"/>
      <c r="D7" s="6"/>
      <c r="E7" s="11" t="s">
        <v>11</v>
      </c>
      <c r="F7" s="8"/>
      <c r="G7" s="3"/>
    </row>
    <row r="8">
      <c r="A8" s="3"/>
      <c r="B8" s="3"/>
      <c r="C8" s="3"/>
      <c r="D8" s="3"/>
      <c r="E8" s="3"/>
      <c r="F8" s="3"/>
      <c r="G8" s="3"/>
    </row>
    <row r="9">
      <c r="A9" s="3"/>
      <c r="B9" s="3"/>
      <c r="C9" s="3"/>
      <c r="D9" s="3"/>
      <c r="E9" s="4" t="s">
        <v>12</v>
      </c>
      <c r="F9" s="3"/>
      <c r="G9" s="3"/>
    </row>
    <row r="10">
      <c r="A10" s="12" t="s">
        <v>13</v>
      </c>
      <c r="B10" s="13" t="s">
        <v>14</v>
      </c>
      <c r="C10" s="13" t="s">
        <v>15</v>
      </c>
      <c r="D10" s="13" t="s">
        <v>16</v>
      </c>
      <c r="E10" s="13" t="s">
        <v>17</v>
      </c>
      <c r="F10" s="13" t="s">
        <v>18</v>
      </c>
      <c r="G10" s="13" t="s">
        <v>19</v>
      </c>
      <c r="H10" s="13" t="s">
        <v>20</v>
      </c>
      <c r="I10" s="13" t="s">
        <v>21</v>
      </c>
      <c r="J10" s="14" t="s">
        <v>22</v>
      </c>
    </row>
    <row r="11">
      <c r="A11" s="15">
        <f t="shared" ref="A11:A94" si="1">ROW() - 8</f>
        <v>3</v>
      </c>
      <c r="B11" s="16" t="s">
        <v>23</v>
      </c>
      <c r="C11" s="16" t="s">
        <v>24</v>
      </c>
      <c r="D11" s="17">
        <v>0.0</v>
      </c>
      <c r="E11" s="18" t="s">
        <v>25</v>
      </c>
      <c r="F11" s="19" t="s">
        <v>26</v>
      </c>
      <c r="G11" s="20" t="s">
        <v>27</v>
      </c>
      <c r="H11" s="21" t="s">
        <v>28</v>
      </c>
      <c r="I11" s="22" t="s">
        <v>29</v>
      </c>
      <c r="J11" s="23" t="s">
        <v>30</v>
      </c>
    </row>
    <row r="12">
      <c r="A12" s="24">
        <f t="shared" si="1"/>
        <v>4</v>
      </c>
      <c r="B12" s="25" t="s">
        <v>23</v>
      </c>
      <c r="C12" s="25" t="s">
        <v>31</v>
      </c>
      <c r="D12" s="26">
        <v>0.0</v>
      </c>
      <c r="E12" s="27" t="s">
        <v>32</v>
      </c>
      <c r="F12" s="28" t="s">
        <v>33</v>
      </c>
      <c r="G12" s="29" t="s">
        <v>34</v>
      </c>
      <c r="H12" s="30" t="s">
        <v>35</v>
      </c>
      <c r="I12" s="31"/>
      <c r="J12" s="32" t="s">
        <v>30</v>
      </c>
    </row>
    <row r="13">
      <c r="A13" s="33">
        <f t="shared" si="1"/>
        <v>5</v>
      </c>
      <c r="B13" s="34" t="s">
        <v>36</v>
      </c>
      <c r="C13" s="34" t="s">
        <v>24</v>
      </c>
      <c r="D13" s="35">
        <v>1.0</v>
      </c>
      <c r="E13" s="36" t="s">
        <v>37</v>
      </c>
      <c r="F13" s="37" t="s">
        <v>38</v>
      </c>
      <c r="G13" s="38" t="s">
        <v>39</v>
      </c>
      <c r="H13" s="39" t="s">
        <v>40</v>
      </c>
      <c r="I13" s="22" t="s">
        <v>41</v>
      </c>
      <c r="J13" s="23" t="s">
        <v>30</v>
      </c>
    </row>
    <row r="14">
      <c r="A14" s="40">
        <f t="shared" si="1"/>
        <v>6</v>
      </c>
      <c r="B14" s="41" t="s">
        <v>42</v>
      </c>
      <c r="C14" s="41" t="s">
        <v>24</v>
      </c>
      <c r="D14" s="42">
        <v>1.0</v>
      </c>
      <c r="E14" s="43" t="s">
        <v>43</v>
      </c>
      <c r="F14" s="44" t="s">
        <v>44</v>
      </c>
      <c r="G14" s="45" t="s">
        <v>45</v>
      </c>
      <c r="H14" s="39" t="s">
        <v>46</v>
      </c>
      <c r="I14" s="46" t="s">
        <v>47</v>
      </c>
      <c r="J14" s="32" t="s">
        <v>30</v>
      </c>
    </row>
    <row r="15">
      <c r="A15" s="33">
        <f t="shared" si="1"/>
        <v>7</v>
      </c>
      <c r="B15" s="34" t="s">
        <v>42</v>
      </c>
      <c r="C15" s="34" t="s">
        <v>24</v>
      </c>
      <c r="D15" s="35">
        <v>1.0</v>
      </c>
      <c r="E15" s="47" t="s">
        <v>48</v>
      </c>
      <c r="F15" s="37" t="s">
        <v>49</v>
      </c>
      <c r="G15" s="38" t="s">
        <v>50</v>
      </c>
      <c r="H15" s="39" t="s">
        <v>51</v>
      </c>
      <c r="I15" s="48" t="s">
        <v>52</v>
      </c>
      <c r="J15" s="23" t="s">
        <v>30</v>
      </c>
    </row>
    <row r="16">
      <c r="A16" s="49">
        <f t="shared" si="1"/>
        <v>8</v>
      </c>
      <c r="B16" s="50" t="s">
        <v>53</v>
      </c>
      <c r="C16" s="50" t="s">
        <v>24</v>
      </c>
      <c r="D16" s="51">
        <v>1.0</v>
      </c>
      <c r="E16" s="52" t="s">
        <v>54</v>
      </c>
      <c r="F16" s="53" t="s">
        <v>55</v>
      </c>
      <c r="G16" s="54" t="s">
        <v>56</v>
      </c>
      <c r="H16" s="21" t="s">
        <v>51</v>
      </c>
      <c r="I16" s="55"/>
      <c r="J16" s="32" t="s">
        <v>30</v>
      </c>
    </row>
    <row r="17">
      <c r="A17" s="33">
        <f t="shared" si="1"/>
        <v>9</v>
      </c>
      <c r="B17" s="34" t="s">
        <v>23</v>
      </c>
      <c r="C17" s="34" t="s">
        <v>31</v>
      </c>
      <c r="D17" s="35">
        <v>1.0</v>
      </c>
      <c r="E17" s="47" t="s">
        <v>57</v>
      </c>
      <c r="F17" s="37" t="s">
        <v>58</v>
      </c>
      <c r="G17" s="38" t="s">
        <v>59</v>
      </c>
      <c r="H17" s="39" t="s">
        <v>28</v>
      </c>
      <c r="I17" s="56"/>
      <c r="J17" s="23" t="s">
        <v>30</v>
      </c>
    </row>
    <row r="18">
      <c r="A18" s="40">
        <f t="shared" si="1"/>
        <v>10</v>
      </c>
      <c r="B18" s="41" t="s">
        <v>23</v>
      </c>
      <c r="C18" s="41" t="s">
        <v>31</v>
      </c>
      <c r="D18" s="42">
        <v>1.0</v>
      </c>
      <c r="E18" s="43" t="s">
        <v>60</v>
      </c>
      <c r="F18" s="44" t="s">
        <v>61</v>
      </c>
      <c r="G18" s="45" t="s">
        <v>62</v>
      </c>
      <c r="H18" s="39" t="s">
        <v>28</v>
      </c>
      <c r="I18" s="57" t="s">
        <v>63</v>
      </c>
      <c r="J18" s="32" t="s">
        <v>30</v>
      </c>
    </row>
    <row r="19">
      <c r="A19" s="15">
        <f t="shared" si="1"/>
        <v>11</v>
      </c>
      <c r="B19" s="16" t="s">
        <v>36</v>
      </c>
      <c r="C19" s="16" t="s">
        <v>31</v>
      </c>
      <c r="D19" s="58">
        <v>1.0</v>
      </c>
      <c r="E19" s="18" t="s">
        <v>64</v>
      </c>
      <c r="F19" s="19" t="s">
        <v>65</v>
      </c>
      <c r="G19" s="20" t="s">
        <v>66</v>
      </c>
      <c r="H19" s="21" t="s">
        <v>28</v>
      </c>
      <c r="I19" s="48" t="s">
        <v>67</v>
      </c>
      <c r="J19" s="23" t="s">
        <v>30</v>
      </c>
    </row>
    <row r="20">
      <c r="A20" s="59">
        <f t="shared" si="1"/>
        <v>12</v>
      </c>
      <c r="B20" s="60" t="s">
        <v>53</v>
      </c>
      <c r="C20" s="60" t="s">
        <v>31</v>
      </c>
      <c r="D20" s="61">
        <v>1.0</v>
      </c>
      <c r="E20" s="62" t="s">
        <v>68</v>
      </c>
      <c r="F20" s="63" t="s">
        <v>69</v>
      </c>
      <c r="G20" s="64" t="s">
        <v>70</v>
      </c>
      <c r="H20" s="65" t="s">
        <v>51</v>
      </c>
      <c r="I20" s="57" t="s">
        <v>71</v>
      </c>
      <c r="J20" s="32" t="s">
        <v>30</v>
      </c>
    </row>
    <row r="21">
      <c r="A21" s="33">
        <f t="shared" si="1"/>
        <v>13</v>
      </c>
      <c r="B21" s="34" t="s">
        <v>42</v>
      </c>
      <c r="C21" s="34" t="s">
        <v>31</v>
      </c>
      <c r="D21" s="35">
        <v>1.0</v>
      </c>
      <c r="E21" s="47" t="s">
        <v>72</v>
      </c>
      <c r="F21" s="37" t="s">
        <v>73</v>
      </c>
      <c r="G21" s="38" t="s">
        <v>74</v>
      </c>
      <c r="H21" s="39" t="s">
        <v>35</v>
      </c>
      <c r="I21" s="48" t="s">
        <v>75</v>
      </c>
      <c r="J21" s="23" t="s">
        <v>30</v>
      </c>
    </row>
    <row r="22">
      <c r="A22" s="59">
        <f t="shared" si="1"/>
        <v>14</v>
      </c>
      <c r="B22" s="60" t="s">
        <v>53</v>
      </c>
      <c r="C22" s="60" t="s">
        <v>31</v>
      </c>
      <c r="D22" s="61">
        <v>1.0</v>
      </c>
      <c r="E22" s="62" t="s">
        <v>68</v>
      </c>
      <c r="F22" s="63" t="s">
        <v>69</v>
      </c>
      <c r="G22" s="64" t="s">
        <v>70</v>
      </c>
      <c r="H22" s="65" t="s">
        <v>51</v>
      </c>
      <c r="I22" s="66"/>
      <c r="J22" s="32" t="s">
        <v>30</v>
      </c>
    </row>
    <row r="23">
      <c r="A23" s="67">
        <f t="shared" si="1"/>
        <v>15</v>
      </c>
      <c r="B23" s="34" t="s">
        <v>76</v>
      </c>
      <c r="C23" s="34" t="s">
        <v>77</v>
      </c>
      <c r="D23" s="35">
        <v>1.0</v>
      </c>
      <c r="E23" s="36" t="s">
        <v>78</v>
      </c>
      <c r="F23" s="37" t="s">
        <v>79</v>
      </c>
      <c r="G23" s="38" t="s">
        <v>80</v>
      </c>
      <c r="H23" s="39" t="s">
        <v>51</v>
      </c>
      <c r="I23" s="48" t="s">
        <v>81</v>
      </c>
      <c r="J23" s="23" t="s">
        <v>30</v>
      </c>
    </row>
    <row r="24">
      <c r="A24" s="68">
        <f t="shared" si="1"/>
        <v>16</v>
      </c>
      <c r="B24" s="69" t="s">
        <v>82</v>
      </c>
      <c r="C24" s="69" t="s">
        <v>77</v>
      </c>
      <c r="D24" s="70">
        <v>1.0</v>
      </c>
      <c r="E24" s="71" t="s">
        <v>83</v>
      </c>
      <c r="F24" s="72" t="s">
        <v>84</v>
      </c>
      <c r="G24" s="73" t="s">
        <v>85</v>
      </c>
      <c r="H24" s="74" t="s">
        <v>51</v>
      </c>
      <c r="I24" s="66"/>
      <c r="J24" s="32" t="s">
        <v>30</v>
      </c>
    </row>
    <row r="25">
      <c r="A25" s="33">
        <f t="shared" si="1"/>
        <v>17</v>
      </c>
      <c r="B25" s="34" t="s">
        <v>53</v>
      </c>
      <c r="C25" s="34" t="s">
        <v>77</v>
      </c>
      <c r="D25" s="35">
        <v>1.0</v>
      </c>
      <c r="E25" s="47" t="s">
        <v>86</v>
      </c>
      <c r="F25" s="37" t="s">
        <v>87</v>
      </c>
      <c r="G25" s="38" t="s">
        <v>88</v>
      </c>
      <c r="H25" s="39" t="s">
        <v>35</v>
      </c>
      <c r="I25" s="48" t="s">
        <v>89</v>
      </c>
      <c r="J25" s="23" t="s">
        <v>30</v>
      </c>
    </row>
    <row r="26">
      <c r="A26" s="40">
        <f t="shared" si="1"/>
        <v>18</v>
      </c>
      <c r="B26" s="41" t="s">
        <v>90</v>
      </c>
      <c r="C26" s="41" t="s">
        <v>77</v>
      </c>
      <c r="D26" s="42">
        <v>1.0</v>
      </c>
      <c r="E26" s="43" t="s">
        <v>91</v>
      </c>
      <c r="F26" s="44" t="s">
        <v>92</v>
      </c>
      <c r="G26" s="45" t="s">
        <v>93</v>
      </c>
      <c r="H26" s="39" t="s">
        <v>94</v>
      </c>
      <c r="I26" s="46" t="s">
        <v>95</v>
      </c>
      <c r="J26" s="32" t="s">
        <v>30</v>
      </c>
    </row>
    <row r="27">
      <c r="A27" s="33">
        <f t="shared" si="1"/>
        <v>19</v>
      </c>
      <c r="B27" s="34" t="s">
        <v>96</v>
      </c>
      <c r="C27" s="34" t="s">
        <v>77</v>
      </c>
      <c r="D27" s="35">
        <v>1.0</v>
      </c>
      <c r="E27" s="47" t="s">
        <v>97</v>
      </c>
      <c r="F27" s="37" t="s">
        <v>98</v>
      </c>
      <c r="G27" s="38" t="s">
        <v>99</v>
      </c>
      <c r="H27" s="39" t="s">
        <v>35</v>
      </c>
      <c r="I27" s="48" t="s">
        <v>100</v>
      </c>
      <c r="J27" s="23" t="s">
        <v>30</v>
      </c>
    </row>
    <row r="28">
      <c r="A28" s="40">
        <f t="shared" si="1"/>
        <v>20</v>
      </c>
      <c r="B28" s="41" t="s">
        <v>96</v>
      </c>
      <c r="C28" s="41" t="s">
        <v>77</v>
      </c>
      <c r="D28" s="42">
        <v>1.0</v>
      </c>
      <c r="E28" s="43" t="s">
        <v>101</v>
      </c>
      <c r="F28" s="44" t="s">
        <v>102</v>
      </c>
      <c r="G28" s="45" t="s">
        <v>103</v>
      </c>
      <c r="H28" s="39" t="s">
        <v>28</v>
      </c>
      <c r="I28" s="55"/>
      <c r="J28" s="32" t="s">
        <v>30</v>
      </c>
    </row>
    <row r="29">
      <c r="A29" s="15">
        <f t="shared" si="1"/>
        <v>21</v>
      </c>
      <c r="B29" s="16" t="s">
        <v>104</v>
      </c>
      <c r="C29" s="16" t="s">
        <v>105</v>
      </c>
      <c r="D29" s="75">
        <v>1.0</v>
      </c>
      <c r="E29" s="18" t="s">
        <v>106</v>
      </c>
      <c r="F29" s="19" t="s">
        <v>107</v>
      </c>
      <c r="G29" s="20" t="s">
        <v>108</v>
      </c>
      <c r="H29" s="21" t="s">
        <v>35</v>
      </c>
      <c r="I29" s="76"/>
      <c r="J29" s="23" t="s">
        <v>30</v>
      </c>
    </row>
    <row r="30">
      <c r="A30" s="77">
        <f t="shared" si="1"/>
        <v>22</v>
      </c>
      <c r="B30" s="50" t="s">
        <v>42</v>
      </c>
      <c r="C30" s="50" t="s">
        <v>105</v>
      </c>
      <c r="D30" s="51">
        <v>1.0</v>
      </c>
      <c r="E30" s="52" t="s">
        <v>109</v>
      </c>
      <c r="F30" s="53" t="s">
        <v>110</v>
      </c>
      <c r="G30" s="54" t="s">
        <v>111</v>
      </c>
      <c r="H30" s="21" t="s">
        <v>28</v>
      </c>
      <c r="I30" s="46" t="s">
        <v>112</v>
      </c>
      <c r="J30" s="32" t="s">
        <v>30</v>
      </c>
    </row>
    <row r="31">
      <c r="A31" s="78">
        <f t="shared" si="1"/>
        <v>23</v>
      </c>
      <c r="B31" s="79" t="s">
        <v>96</v>
      </c>
      <c r="C31" s="79" t="s">
        <v>105</v>
      </c>
      <c r="D31" s="80">
        <v>1.0</v>
      </c>
      <c r="E31" s="81" t="s">
        <v>113</v>
      </c>
      <c r="F31" s="82" t="s">
        <v>114</v>
      </c>
      <c r="G31" s="83" t="s">
        <v>115</v>
      </c>
      <c r="H31" s="65" t="s">
        <v>35</v>
      </c>
      <c r="I31" s="56"/>
      <c r="J31" s="23" t="s">
        <v>30</v>
      </c>
    </row>
    <row r="32">
      <c r="A32" s="84">
        <f t="shared" si="1"/>
        <v>24</v>
      </c>
      <c r="B32" s="69" t="s">
        <v>96</v>
      </c>
      <c r="C32" s="69" t="s">
        <v>105</v>
      </c>
      <c r="D32" s="85">
        <v>1.0</v>
      </c>
      <c r="E32" s="86" t="s">
        <v>116</v>
      </c>
      <c r="F32" s="72" t="s">
        <v>117</v>
      </c>
      <c r="G32" s="73" t="s">
        <v>118</v>
      </c>
      <c r="H32" s="74" t="s">
        <v>28</v>
      </c>
      <c r="I32" s="66"/>
      <c r="J32" s="32" t="s">
        <v>30</v>
      </c>
    </row>
    <row r="33">
      <c r="A33" s="33">
        <f t="shared" si="1"/>
        <v>25</v>
      </c>
      <c r="B33" s="34" t="s">
        <v>119</v>
      </c>
      <c r="C33" s="34" t="s">
        <v>24</v>
      </c>
      <c r="D33" s="87">
        <v>2.0</v>
      </c>
      <c r="E33" s="47" t="s">
        <v>120</v>
      </c>
      <c r="F33" s="37" t="s">
        <v>121</v>
      </c>
      <c r="G33" s="38" t="s">
        <v>122</v>
      </c>
      <c r="H33" s="39" t="s">
        <v>35</v>
      </c>
      <c r="I33" s="48" t="s">
        <v>123</v>
      </c>
      <c r="J33" s="23" t="s">
        <v>30</v>
      </c>
    </row>
    <row r="34">
      <c r="A34" s="40">
        <f t="shared" si="1"/>
        <v>26</v>
      </c>
      <c r="B34" s="41" t="s">
        <v>124</v>
      </c>
      <c r="C34" s="41" t="s">
        <v>31</v>
      </c>
      <c r="D34" s="88">
        <v>2.0</v>
      </c>
      <c r="E34" s="43" t="s">
        <v>125</v>
      </c>
      <c r="F34" s="44" t="s">
        <v>126</v>
      </c>
      <c r="G34" s="45" t="s">
        <v>127</v>
      </c>
      <c r="H34" s="39" t="s">
        <v>28</v>
      </c>
      <c r="I34" s="66"/>
      <c r="J34" s="32" t="s">
        <v>30</v>
      </c>
    </row>
    <row r="35">
      <c r="A35" s="89">
        <f t="shared" si="1"/>
        <v>27</v>
      </c>
      <c r="B35" s="16" t="s">
        <v>90</v>
      </c>
      <c r="C35" s="16" t="s">
        <v>31</v>
      </c>
      <c r="D35" s="90">
        <v>2.0</v>
      </c>
      <c r="E35" s="18" t="s">
        <v>128</v>
      </c>
      <c r="F35" s="19" t="s">
        <v>129</v>
      </c>
      <c r="G35" s="20" t="s">
        <v>130</v>
      </c>
      <c r="H35" s="21" t="s">
        <v>51</v>
      </c>
      <c r="I35" s="56"/>
      <c r="J35" s="23" t="s">
        <v>30</v>
      </c>
    </row>
    <row r="36">
      <c r="A36" s="91">
        <f t="shared" si="1"/>
        <v>28</v>
      </c>
      <c r="B36" s="60" t="s">
        <v>119</v>
      </c>
      <c r="C36" s="60" t="s">
        <v>31</v>
      </c>
      <c r="D36" s="92">
        <v>2.0</v>
      </c>
      <c r="E36" s="93" t="s">
        <v>131</v>
      </c>
      <c r="F36" s="63" t="s">
        <v>132</v>
      </c>
      <c r="G36" s="64" t="s">
        <v>133</v>
      </c>
      <c r="H36" s="65" t="s">
        <v>28</v>
      </c>
      <c r="I36" s="57" t="s">
        <v>134</v>
      </c>
      <c r="J36" s="32" t="s">
        <v>30</v>
      </c>
    </row>
    <row r="37">
      <c r="A37" s="15">
        <f t="shared" si="1"/>
        <v>29</v>
      </c>
      <c r="B37" s="16" t="s">
        <v>42</v>
      </c>
      <c r="C37" s="16" t="s">
        <v>31</v>
      </c>
      <c r="D37" s="90">
        <v>2.0</v>
      </c>
      <c r="E37" s="18" t="s">
        <v>135</v>
      </c>
      <c r="F37" s="19" t="s">
        <v>136</v>
      </c>
      <c r="G37" s="20" t="s">
        <v>137</v>
      </c>
      <c r="H37" s="21" t="s">
        <v>28</v>
      </c>
      <c r="I37" s="48" t="s">
        <v>138</v>
      </c>
      <c r="J37" s="23" t="s">
        <v>30</v>
      </c>
    </row>
    <row r="38">
      <c r="A38" s="94">
        <f t="shared" si="1"/>
        <v>30</v>
      </c>
      <c r="B38" s="41" t="s">
        <v>42</v>
      </c>
      <c r="C38" s="41" t="s">
        <v>31</v>
      </c>
      <c r="D38" s="88">
        <v>2.0</v>
      </c>
      <c r="E38" s="43" t="s">
        <v>139</v>
      </c>
      <c r="F38" s="44" t="s">
        <v>140</v>
      </c>
      <c r="G38" s="45" t="s">
        <v>141</v>
      </c>
      <c r="H38" s="39" t="s">
        <v>51</v>
      </c>
      <c r="I38" s="57" t="s">
        <v>142</v>
      </c>
      <c r="J38" s="32" t="s">
        <v>30</v>
      </c>
    </row>
    <row r="39">
      <c r="A39" s="33">
        <f t="shared" si="1"/>
        <v>31</v>
      </c>
      <c r="B39" s="34" t="s">
        <v>96</v>
      </c>
      <c r="C39" s="34" t="s">
        <v>31</v>
      </c>
      <c r="D39" s="95">
        <v>2.0</v>
      </c>
      <c r="E39" s="47" t="s">
        <v>143</v>
      </c>
      <c r="F39" s="37" t="s">
        <v>144</v>
      </c>
      <c r="G39" s="38" t="s">
        <v>145</v>
      </c>
      <c r="H39" s="39" t="s">
        <v>94</v>
      </c>
      <c r="I39" s="48" t="s">
        <v>146</v>
      </c>
      <c r="J39" s="23" t="s">
        <v>30</v>
      </c>
    </row>
    <row r="40">
      <c r="A40" s="68">
        <f t="shared" si="1"/>
        <v>32</v>
      </c>
      <c r="B40" s="69" t="s">
        <v>147</v>
      </c>
      <c r="C40" s="69" t="s">
        <v>31</v>
      </c>
      <c r="D40" s="96">
        <v>2.0</v>
      </c>
      <c r="E40" s="86" t="s">
        <v>148</v>
      </c>
      <c r="F40" s="72" t="s">
        <v>149</v>
      </c>
      <c r="G40" s="73" t="s">
        <v>150</v>
      </c>
      <c r="H40" s="74" t="s">
        <v>51</v>
      </c>
      <c r="I40" s="66"/>
      <c r="J40" s="32" t="s">
        <v>30</v>
      </c>
    </row>
    <row r="41">
      <c r="A41" s="33">
        <f t="shared" si="1"/>
        <v>33</v>
      </c>
      <c r="B41" s="34" t="s">
        <v>23</v>
      </c>
      <c r="C41" s="34" t="s">
        <v>77</v>
      </c>
      <c r="D41" s="95">
        <v>2.0</v>
      </c>
      <c r="E41" s="47" t="s">
        <v>151</v>
      </c>
      <c r="F41" s="37" t="s">
        <v>152</v>
      </c>
      <c r="G41" s="38" t="s">
        <v>153</v>
      </c>
      <c r="H41" s="39" t="s">
        <v>154</v>
      </c>
      <c r="I41" s="56"/>
      <c r="J41" s="23" t="s">
        <v>30</v>
      </c>
    </row>
    <row r="42">
      <c r="A42" s="40">
        <f t="shared" si="1"/>
        <v>34</v>
      </c>
      <c r="B42" s="41" t="s">
        <v>23</v>
      </c>
      <c r="C42" s="41" t="s">
        <v>77</v>
      </c>
      <c r="D42" s="88">
        <v>2.0</v>
      </c>
      <c r="E42" s="43" t="s">
        <v>155</v>
      </c>
      <c r="F42" s="44" t="s">
        <v>156</v>
      </c>
      <c r="G42" s="45" t="s">
        <v>157</v>
      </c>
      <c r="H42" s="39" t="s">
        <v>158</v>
      </c>
      <c r="I42" s="66"/>
      <c r="J42" s="32" t="s">
        <v>30</v>
      </c>
    </row>
    <row r="43">
      <c r="A43" s="33">
        <f t="shared" si="1"/>
        <v>35</v>
      </c>
      <c r="B43" s="34" t="s">
        <v>124</v>
      </c>
      <c r="C43" s="34" t="s">
        <v>77</v>
      </c>
      <c r="D43" s="95">
        <v>2.0</v>
      </c>
      <c r="E43" s="47" t="s">
        <v>159</v>
      </c>
      <c r="F43" s="37" t="s">
        <v>160</v>
      </c>
      <c r="G43" s="38" t="s">
        <v>161</v>
      </c>
      <c r="H43" s="39" t="s">
        <v>162</v>
      </c>
      <c r="I43" s="56"/>
      <c r="J43" s="23" t="s">
        <v>30</v>
      </c>
    </row>
    <row r="44">
      <c r="A44" s="15">
        <f t="shared" si="1"/>
        <v>36</v>
      </c>
      <c r="B44" s="16" t="s">
        <v>53</v>
      </c>
      <c r="C44" s="16" t="s">
        <v>77</v>
      </c>
      <c r="D44" s="90">
        <v>2.0</v>
      </c>
      <c r="E44" s="18" t="s">
        <v>163</v>
      </c>
      <c r="F44" s="19" t="s">
        <v>164</v>
      </c>
      <c r="G44" s="20" t="s">
        <v>165</v>
      </c>
      <c r="H44" s="21" t="s">
        <v>28</v>
      </c>
      <c r="I44" s="57" t="s">
        <v>166</v>
      </c>
      <c r="J44" s="32" t="s">
        <v>30</v>
      </c>
    </row>
    <row r="45">
      <c r="A45" s="40">
        <f t="shared" si="1"/>
        <v>37</v>
      </c>
      <c r="B45" s="41" t="s">
        <v>90</v>
      </c>
      <c r="C45" s="41" t="s">
        <v>77</v>
      </c>
      <c r="D45" s="88">
        <v>2.0</v>
      </c>
      <c r="E45" s="43" t="s">
        <v>167</v>
      </c>
      <c r="F45" s="44" t="s">
        <v>168</v>
      </c>
      <c r="G45" s="45" t="s">
        <v>169</v>
      </c>
      <c r="H45" s="39" t="s">
        <v>28</v>
      </c>
      <c r="I45" s="48" t="s">
        <v>170</v>
      </c>
      <c r="J45" s="23" t="s">
        <v>30</v>
      </c>
    </row>
    <row r="46">
      <c r="A46" s="91">
        <f t="shared" si="1"/>
        <v>38</v>
      </c>
      <c r="B46" s="60" t="s">
        <v>119</v>
      </c>
      <c r="C46" s="60" t="s">
        <v>77</v>
      </c>
      <c r="D46" s="92">
        <v>2.0</v>
      </c>
      <c r="E46" s="93" t="s">
        <v>171</v>
      </c>
      <c r="F46" s="63" t="s">
        <v>172</v>
      </c>
      <c r="G46" s="97" t="s">
        <v>173</v>
      </c>
      <c r="H46" s="65" t="s">
        <v>46</v>
      </c>
      <c r="I46" s="57" t="s">
        <v>174</v>
      </c>
      <c r="J46" s="32" t="s">
        <v>30</v>
      </c>
    </row>
    <row r="47">
      <c r="A47" s="98">
        <f t="shared" si="1"/>
        <v>39</v>
      </c>
      <c r="B47" s="99" t="s">
        <v>90</v>
      </c>
      <c r="C47" s="41" t="s">
        <v>77</v>
      </c>
      <c r="D47" s="88">
        <v>2.0</v>
      </c>
      <c r="E47" s="43" t="s">
        <v>175</v>
      </c>
      <c r="F47" s="100" t="s">
        <v>176</v>
      </c>
      <c r="G47" s="45" t="s">
        <v>177</v>
      </c>
      <c r="H47" s="39" t="s">
        <v>51</v>
      </c>
      <c r="I47" s="56"/>
      <c r="J47" s="23" t="s">
        <v>30</v>
      </c>
    </row>
    <row r="48">
      <c r="A48" s="98">
        <f t="shared" si="1"/>
        <v>40</v>
      </c>
      <c r="B48" s="34" t="s">
        <v>23</v>
      </c>
      <c r="C48" s="34" t="s">
        <v>105</v>
      </c>
      <c r="D48" s="87">
        <v>2.0</v>
      </c>
      <c r="E48" s="47" t="s">
        <v>178</v>
      </c>
      <c r="F48" s="37" t="s">
        <v>179</v>
      </c>
      <c r="G48" s="38" t="s">
        <v>180</v>
      </c>
      <c r="H48" s="39" t="s">
        <v>181</v>
      </c>
      <c r="I48" s="66"/>
      <c r="J48" s="32" t="s">
        <v>30</v>
      </c>
    </row>
    <row r="49">
      <c r="A49" s="101">
        <f t="shared" si="1"/>
        <v>41</v>
      </c>
      <c r="B49" s="102" t="s">
        <v>76</v>
      </c>
      <c r="C49" s="102" t="s">
        <v>105</v>
      </c>
      <c r="D49" s="103">
        <v>2.0</v>
      </c>
      <c r="E49" s="104" t="s">
        <v>182</v>
      </c>
      <c r="F49" s="105" t="s">
        <v>183</v>
      </c>
      <c r="G49" s="106" t="s">
        <v>184</v>
      </c>
      <c r="H49" s="74" t="s">
        <v>35</v>
      </c>
      <c r="I49" s="56"/>
      <c r="J49" s="23" t="s">
        <v>30</v>
      </c>
    </row>
    <row r="50">
      <c r="A50" s="40">
        <f t="shared" si="1"/>
        <v>42</v>
      </c>
      <c r="B50" s="41" t="s">
        <v>124</v>
      </c>
      <c r="C50" s="41" t="s">
        <v>105</v>
      </c>
      <c r="D50" s="107">
        <v>2.0</v>
      </c>
      <c r="E50" s="43" t="s">
        <v>185</v>
      </c>
      <c r="F50" s="108" t="s">
        <v>186</v>
      </c>
      <c r="G50" s="45" t="s">
        <v>187</v>
      </c>
      <c r="H50" s="39" t="s">
        <v>188</v>
      </c>
      <c r="I50" s="57" t="s">
        <v>134</v>
      </c>
      <c r="J50" s="32" t="s">
        <v>30</v>
      </c>
    </row>
    <row r="51">
      <c r="A51" s="33">
        <f t="shared" si="1"/>
        <v>43</v>
      </c>
      <c r="B51" s="34" t="s">
        <v>53</v>
      </c>
      <c r="C51" s="34" t="s">
        <v>105</v>
      </c>
      <c r="D51" s="95">
        <v>2.0</v>
      </c>
      <c r="E51" s="47" t="s">
        <v>189</v>
      </c>
      <c r="F51" s="37" t="s">
        <v>190</v>
      </c>
      <c r="G51" s="38" t="s">
        <v>191</v>
      </c>
      <c r="H51" s="39" t="s">
        <v>192</v>
      </c>
      <c r="I51" s="56"/>
      <c r="J51" s="23" t="s">
        <v>30</v>
      </c>
    </row>
    <row r="52">
      <c r="A52" s="91">
        <f t="shared" si="1"/>
        <v>44</v>
      </c>
      <c r="B52" s="60" t="s">
        <v>119</v>
      </c>
      <c r="C52" s="60" t="s">
        <v>105</v>
      </c>
      <c r="D52" s="92">
        <v>2.0</v>
      </c>
      <c r="E52" s="93" t="s">
        <v>193</v>
      </c>
      <c r="F52" s="63" t="s">
        <v>194</v>
      </c>
      <c r="G52" s="64" t="s">
        <v>195</v>
      </c>
      <c r="H52" s="65" t="s">
        <v>35</v>
      </c>
      <c r="I52" s="66"/>
      <c r="J52" s="32" t="s">
        <v>30</v>
      </c>
    </row>
    <row r="53">
      <c r="A53" s="78">
        <f t="shared" si="1"/>
        <v>45</v>
      </c>
      <c r="B53" s="79" t="s">
        <v>82</v>
      </c>
      <c r="C53" s="79" t="s">
        <v>24</v>
      </c>
      <c r="D53" s="109">
        <v>3.0</v>
      </c>
      <c r="E53" s="81" t="s">
        <v>196</v>
      </c>
      <c r="F53" s="82" t="s">
        <v>197</v>
      </c>
      <c r="G53" s="83" t="s">
        <v>198</v>
      </c>
      <c r="H53" s="65" t="s">
        <v>162</v>
      </c>
      <c r="I53" s="56"/>
      <c r="J53" s="23" t="s">
        <v>30</v>
      </c>
    </row>
    <row r="54">
      <c r="A54" s="40">
        <f t="shared" si="1"/>
        <v>46</v>
      </c>
      <c r="B54" s="41" t="s">
        <v>90</v>
      </c>
      <c r="C54" s="41" t="s">
        <v>24</v>
      </c>
      <c r="D54" s="110">
        <v>3.0</v>
      </c>
      <c r="E54" s="43" t="s">
        <v>199</v>
      </c>
      <c r="F54" s="111" t="s">
        <v>200</v>
      </c>
      <c r="G54" s="112" t="s">
        <v>201</v>
      </c>
      <c r="H54" s="39" t="s">
        <v>181</v>
      </c>
      <c r="I54" s="57" t="s">
        <v>202</v>
      </c>
      <c r="J54" s="32" t="s">
        <v>30</v>
      </c>
    </row>
    <row r="55">
      <c r="A55" s="33">
        <f t="shared" si="1"/>
        <v>47</v>
      </c>
      <c r="B55" s="34" t="s">
        <v>36</v>
      </c>
      <c r="C55" s="34" t="s">
        <v>31</v>
      </c>
      <c r="D55" s="113">
        <v>3.0</v>
      </c>
      <c r="E55" s="47" t="s">
        <v>203</v>
      </c>
      <c r="F55" s="37" t="s">
        <v>204</v>
      </c>
      <c r="G55" s="38" t="s">
        <v>205</v>
      </c>
      <c r="H55" s="39" t="s">
        <v>35</v>
      </c>
      <c r="I55" s="48" t="s">
        <v>206</v>
      </c>
      <c r="J55" s="23" t="s">
        <v>30</v>
      </c>
    </row>
    <row r="56">
      <c r="A56" s="91">
        <f t="shared" si="1"/>
        <v>48</v>
      </c>
      <c r="B56" s="60" t="s">
        <v>76</v>
      </c>
      <c r="C56" s="60" t="s">
        <v>31</v>
      </c>
      <c r="D56" s="114">
        <v>3.0</v>
      </c>
      <c r="E56" s="93" t="s">
        <v>207</v>
      </c>
      <c r="F56" s="63" t="s">
        <v>208</v>
      </c>
      <c r="G56" s="64" t="s">
        <v>209</v>
      </c>
      <c r="H56" s="65" t="s">
        <v>35</v>
      </c>
      <c r="I56" s="66"/>
      <c r="J56" s="32" t="s">
        <v>30</v>
      </c>
    </row>
    <row r="57">
      <c r="A57" s="33">
        <f t="shared" si="1"/>
        <v>49</v>
      </c>
      <c r="B57" s="34" t="s">
        <v>124</v>
      </c>
      <c r="C57" s="34" t="s">
        <v>31</v>
      </c>
      <c r="D57" s="113">
        <v>3.0</v>
      </c>
      <c r="E57" s="47" t="s">
        <v>210</v>
      </c>
      <c r="F57" s="37" t="s">
        <v>211</v>
      </c>
      <c r="G57" s="38" t="s">
        <v>212</v>
      </c>
      <c r="H57" s="39" t="s">
        <v>28</v>
      </c>
      <c r="I57" s="48" t="s">
        <v>213</v>
      </c>
      <c r="J57" s="23" t="s">
        <v>30</v>
      </c>
    </row>
    <row r="58">
      <c r="A58" s="40">
        <f t="shared" si="1"/>
        <v>50</v>
      </c>
      <c r="B58" s="41" t="s">
        <v>53</v>
      </c>
      <c r="C58" s="41" t="s">
        <v>31</v>
      </c>
      <c r="D58" s="110">
        <v>3.0</v>
      </c>
      <c r="E58" s="43" t="s">
        <v>214</v>
      </c>
      <c r="F58" s="111" t="s">
        <v>215</v>
      </c>
      <c r="G58" s="45" t="s">
        <v>216</v>
      </c>
      <c r="H58" s="39" t="s">
        <v>46</v>
      </c>
      <c r="I58" s="66"/>
      <c r="J58" s="32" t="s">
        <v>30</v>
      </c>
    </row>
    <row r="59">
      <c r="A59" s="33">
        <f t="shared" si="1"/>
        <v>51</v>
      </c>
      <c r="B59" s="34" t="s">
        <v>53</v>
      </c>
      <c r="C59" s="34" t="s">
        <v>31</v>
      </c>
      <c r="D59" s="113">
        <v>3.0</v>
      </c>
      <c r="E59" s="47" t="s">
        <v>217</v>
      </c>
      <c r="F59" s="37" t="s">
        <v>218</v>
      </c>
      <c r="G59" s="38" t="s">
        <v>70</v>
      </c>
      <c r="H59" s="39" t="s">
        <v>51</v>
      </c>
      <c r="I59" s="56"/>
      <c r="J59" s="23" t="s">
        <v>30</v>
      </c>
    </row>
    <row r="60">
      <c r="A60" s="40">
        <f t="shared" si="1"/>
        <v>52</v>
      </c>
      <c r="B60" s="41" t="s">
        <v>42</v>
      </c>
      <c r="C60" s="41" t="s">
        <v>31</v>
      </c>
      <c r="D60" s="110">
        <v>3.0</v>
      </c>
      <c r="E60" s="43" t="s">
        <v>219</v>
      </c>
      <c r="F60" s="44" t="s">
        <v>220</v>
      </c>
      <c r="G60" s="115" t="s">
        <v>221</v>
      </c>
      <c r="H60" s="39" t="s">
        <v>28</v>
      </c>
      <c r="I60" s="66"/>
      <c r="J60" s="32" t="s">
        <v>30</v>
      </c>
    </row>
    <row r="61">
      <c r="A61" s="33">
        <f t="shared" si="1"/>
        <v>53</v>
      </c>
      <c r="B61" s="34" t="s">
        <v>147</v>
      </c>
      <c r="C61" s="34" t="s">
        <v>31</v>
      </c>
      <c r="D61" s="116">
        <v>3.0</v>
      </c>
      <c r="E61" s="47" t="s">
        <v>222</v>
      </c>
      <c r="F61" s="37" t="s">
        <v>223</v>
      </c>
      <c r="G61" s="38" t="s">
        <v>224</v>
      </c>
      <c r="H61" s="39" t="s">
        <v>181</v>
      </c>
      <c r="I61" s="56"/>
      <c r="J61" s="23" t="s">
        <v>30</v>
      </c>
    </row>
    <row r="62">
      <c r="A62" s="117">
        <f t="shared" si="1"/>
        <v>54</v>
      </c>
      <c r="B62" s="60" t="s">
        <v>104</v>
      </c>
      <c r="C62" s="60" t="s">
        <v>77</v>
      </c>
      <c r="D62" s="114">
        <v>3.0</v>
      </c>
      <c r="E62" s="93" t="s">
        <v>225</v>
      </c>
      <c r="F62" s="63" t="s">
        <v>226</v>
      </c>
      <c r="G62" s="64" t="s">
        <v>227</v>
      </c>
      <c r="H62" s="65" t="s">
        <v>154</v>
      </c>
      <c r="I62" s="66"/>
      <c r="J62" s="32" t="s">
        <v>30</v>
      </c>
    </row>
    <row r="63">
      <c r="A63" s="33">
        <f t="shared" si="1"/>
        <v>55</v>
      </c>
      <c r="B63" s="34" t="s">
        <v>76</v>
      </c>
      <c r="C63" s="34" t="s">
        <v>77</v>
      </c>
      <c r="D63" s="113">
        <v>3.0</v>
      </c>
      <c r="E63" s="47" t="s">
        <v>228</v>
      </c>
      <c r="F63" s="37" t="s">
        <v>229</v>
      </c>
      <c r="G63" s="38" t="s">
        <v>230</v>
      </c>
      <c r="H63" s="39" t="s">
        <v>28</v>
      </c>
      <c r="I63" s="48" t="s">
        <v>231</v>
      </c>
      <c r="J63" s="23" t="s">
        <v>30</v>
      </c>
    </row>
    <row r="64">
      <c r="A64" s="40">
        <f t="shared" si="1"/>
        <v>56</v>
      </c>
      <c r="B64" s="41" t="s">
        <v>82</v>
      </c>
      <c r="C64" s="41" t="s">
        <v>77</v>
      </c>
      <c r="D64" s="110">
        <v>3.0</v>
      </c>
      <c r="E64" s="43" t="s">
        <v>232</v>
      </c>
      <c r="F64" s="44" t="s">
        <v>233</v>
      </c>
      <c r="G64" s="45" t="s">
        <v>234</v>
      </c>
      <c r="H64" s="39" t="s">
        <v>158</v>
      </c>
      <c r="I64" s="66"/>
      <c r="J64" s="32" t="s">
        <v>30</v>
      </c>
    </row>
    <row r="65">
      <c r="A65" s="98">
        <f t="shared" si="1"/>
        <v>57</v>
      </c>
      <c r="B65" s="34" t="s">
        <v>53</v>
      </c>
      <c r="C65" s="34" t="s">
        <v>77</v>
      </c>
      <c r="D65" s="113">
        <v>3.0</v>
      </c>
      <c r="E65" s="47" t="s">
        <v>235</v>
      </c>
      <c r="F65" s="37" t="s">
        <v>236</v>
      </c>
      <c r="G65" s="38" t="s">
        <v>237</v>
      </c>
      <c r="H65" s="39" t="s">
        <v>28</v>
      </c>
      <c r="I65" s="56"/>
      <c r="J65" s="23" t="s">
        <v>30</v>
      </c>
    </row>
    <row r="66">
      <c r="A66" s="33">
        <f t="shared" si="1"/>
        <v>58</v>
      </c>
      <c r="B66" s="34" t="s">
        <v>147</v>
      </c>
      <c r="C66" s="34" t="s">
        <v>77</v>
      </c>
      <c r="D66" s="116">
        <v>3.0</v>
      </c>
      <c r="E66" s="118" t="s">
        <v>238</v>
      </c>
      <c r="F66" s="119" t="s">
        <v>239</v>
      </c>
      <c r="G66" s="120" t="s">
        <v>240</v>
      </c>
      <c r="H66" s="39" t="s">
        <v>162</v>
      </c>
      <c r="I66" s="57" t="s">
        <v>241</v>
      </c>
      <c r="J66" s="32" t="s">
        <v>30</v>
      </c>
    </row>
    <row r="67">
      <c r="A67" s="121">
        <f t="shared" si="1"/>
        <v>59</v>
      </c>
      <c r="B67" s="50" t="s">
        <v>53</v>
      </c>
      <c r="C67" s="50" t="s">
        <v>242</v>
      </c>
      <c r="D67" s="122">
        <v>3.0</v>
      </c>
      <c r="E67" s="52" t="s">
        <v>243</v>
      </c>
      <c r="F67" s="53" t="s">
        <v>244</v>
      </c>
      <c r="G67" s="54" t="s">
        <v>245</v>
      </c>
      <c r="H67" s="21" t="s">
        <v>35</v>
      </c>
      <c r="I67" s="48" t="s">
        <v>246</v>
      </c>
      <c r="J67" s="23" t="s">
        <v>30</v>
      </c>
    </row>
    <row r="68">
      <c r="A68" s="98">
        <f t="shared" si="1"/>
        <v>60</v>
      </c>
      <c r="B68" s="41" t="s">
        <v>23</v>
      </c>
      <c r="C68" s="41" t="s">
        <v>105</v>
      </c>
      <c r="D68" s="123">
        <v>3.0</v>
      </c>
      <c r="E68" s="43" t="s">
        <v>247</v>
      </c>
      <c r="F68" s="44" t="s">
        <v>248</v>
      </c>
      <c r="G68" s="45" t="s">
        <v>249</v>
      </c>
      <c r="H68" s="39" t="s">
        <v>35</v>
      </c>
      <c r="I68" s="57" t="s">
        <v>250</v>
      </c>
      <c r="J68" s="32" t="s">
        <v>30</v>
      </c>
    </row>
    <row r="69">
      <c r="A69" s="40">
        <f t="shared" si="1"/>
        <v>61</v>
      </c>
      <c r="B69" s="41" t="s">
        <v>36</v>
      </c>
      <c r="C69" s="41" t="s">
        <v>105</v>
      </c>
      <c r="D69" s="124">
        <v>3.0</v>
      </c>
      <c r="E69" s="43" t="s">
        <v>251</v>
      </c>
      <c r="F69" s="44" t="s">
        <v>252</v>
      </c>
      <c r="G69" s="45" t="s">
        <v>253</v>
      </c>
      <c r="H69" s="39" t="s">
        <v>35</v>
      </c>
      <c r="I69" s="48" t="s">
        <v>254</v>
      </c>
      <c r="J69" s="23" t="s">
        <v>30</v>
      </c>
    </row>
    <row r="70">
      <c r="A70" s="117">
        <f t="shared" si="1"/>
        <v>62</v>
      </c>
      <c r="B70" s="60" t="s">
        <v>42</v>
      </c>
      <c r="C70" s="60" t="s">
        <v>105</v>
      </c>
      <c r="D70" s="114">
        <v>3.0</v>
      </c>
      <c r="E70" s="93" t="s">
        <v>255</v>
      </c>
      <c r="F70" s="63" t="s">
        <v>256</v>
      </c>
      <c r="G70" s="64" t="s">
        <v>257</v>
      </c>
      <c r="H70" s="65" t="s">
        <v>258</v>
      </c>
      <c r="I70" s="66"/>
      <c r="J70" s="32" t="s">
        <v>30</v>
      </c>
    </row>
    <row r="71">
      <c r="A71" s="98">
        <f t="shared" si="1"/>
        <v>63</v>
      </c>
      <c r="B71" s="34" t="s">
        <v>76</v>
      </c>
      <c r="C71" s="34" t="s">
        <v>77</v>
      </c>
      <c r="D71" s="125">
        <v>4.0</v>
      </c>
      <c r="E71" s="47" t="s">
        <v>259</v>
      </c>
      <c r="F71" s="37" t="s">
        <v>260</v>
      </c>
      <c r="G71" s="38" t="s">
        <v>261</v>
      </c>
      <c r="H71" s="39" t="s">
        <v>28</v>
      </c>
      <c r="I71" s="48" t="s">
        <v>262</v>
      </c>
      <c r="J71" s="23" t="s">
        <v>30</v>
      </c>
    </row>
    <row r="72">
      <c r="A72" s="126">
        <f t="shared" si="1"/>
        <v>64</v>
      </c>
      <c r="B72" s="127"/>
      <c r="C72" s="128"/>
      <c r="D72" s="128"/>
      <c r="E72" s="129"/>
      <c r="F72" s="130"/>
      <c r="G72" s="130"/>
      <c r="H72" s="131"/>
      <c r="I72" s="132"/>
      <c r="J72" s="133"/>
    </row>
    <row r="73">
      <c r="A73" s="134">
        <f t="shared" si="1"/>
        <v>65</v>
      </c>
      <c r="B73" s="135"/>
      <c r="C73" s="136"/>
      <c r="D73" s="136"/>
      <c r="E73" s="137"/>
      <c r="F73" s="138"/>
      <c r="G73" s="138"/>
      <c r="H73" s="139"/>
      <c r="I73" s="140"/>
      <c r="J73" s="141"/>
    </row>
    <row r="74">
      <c r="A74" s="126">
        <f t="shared" si="1"/>
        <v>66</v>
      </c>
      <c r="B74" s="127"/>
      <c r="C74" s="128"/>
      <c r="D74" s="128"/>
      <c r="E74" s="129"/>
      <c r="F74" s="130"/>
      <c r="G74" s="130"/>
      <c r="H74" s="131"/>
      <c r="I74" s="132"/>
      <c r="J74" s="133"/>
    </row>
    <row r="75">
      <c r="A75" s="134">
        <f t="shared" si="1"/>
        <v>67</v>
      </c>
      <c r="B75" s="135"/>
      <c r="C75" s="136"/>
      <c r="D75" s="136"/>
      <c r="E75" s="137"/>
      <c r="F75" s="138"/>
      <c r="G75" s="138"/>
      <c r="H75" s="139"/>
      <c r="I75" s="140"/>
      <c r="J75" s="141"/>
    </row>
    <row r="76">
      <c r="A76" s="126">
        <f t="shared" si="1"/>
        <v>68</v>
      </c>
      <c r="B76" s="127"/>
      <c r="C76" s="128"/>
      <c r="D76" s="128"/>
      <c r="E76" s="129"/>
      <c r="F76" s="130"/>
      <c r="G76" s="130"/>
      <c r="H76" s="131"/>
      <c r="I76" s="132"/>
      <c r="J76" s="133"/>
    </row>
    <row r="77">
      <c r="A77" s="134">
        <f t="shared" si="1"/>
        <v>69</v>
      </c>
      <c r="B77" s="135"/>
      <c r="C77" s="136"/>
      <c r="D77" s="136"/>
      <c r="E77" s="137"/>
      <c r="F77" s="138"/>
      <c r="G77" s="138"/>
      <c r="H77" s="139"/>
      <c r="I77" s="140"/>
      <c r="J77" s="141"/>
    </row>
    <row r="78">
      <c r="A78" s="126">
        <f t="shared" si="1"/>
        <v>70</v>
      </c>
      <c r="B78" s="127"/>
      <c r="C78" s="128"/>
      <c r="D78" s="128"/>
      <c r="E78" s="129"/>
      <c r="F78" s="130"/>
      <c r="G78" s="130"/>
      <c r="H78" s="131"/>
      <c r="I78" s="132"/>
      <c r="J78" s="133"/>
    </row>
    <row r="79">
      <c r="A79" s="134">
        <f t="shared" si="1"/>
        <v>71</v>
      </c>
      <c r="B79" s="135"/>
      <c r="C79" s="136"/>
      <c r="D79" s="136"/>
      <c r="E79" s="137"/>
      <c r="F79" s="138"/>
      <c r="G79" s="138"/>
      <c r="H79" s="139"/>
      <c r="I79" s="140"/>
      <c r="J79" s="141"/>
    </row>
    <row r="80">
      <c r="A80" s="126">
        <f t="shared" si="1"/>
        <v>72</v>
      </c>
      <c r="B80" s="127"/>
      <c r="C80" s="128"/>
      <c r="D80" s="128"/>
      <c r="E80" s="129"/>
      <c r="F80" s="130"/>
      <c r="G80" s="130"/>
      <c r="H80" s="131"/>
      <c r="I80" s="132"/>
      <c r="J80" s="133"/>
    </row>
    <row r="81">
      <c r="A81" s="134">
        <f t="shared" si="1"/>
        <v>73</v>
      </c>
      <c r="B81" s="135"/>
      <c r="C81" s="136"/>
      <c r="D81" s="136"/>
      <c r="E81" s="137"/>
      <c r="F81" s="138"/>
      <c r="G81" s="138"/>
      <c r="H81" s="139"/>
      <c r="I81" s="140"/>
      <c r="J81" s="141"/>
    </row>
    <row r="82">
      <c r="A82" s="126">
        <f t="shared" si="1"/>
        <v>74</v>
      </c>
      <c r="B82" s="127"/>
      <c r="C82" s="128"/>
      <c r="D82" s="128"/>
      <c r="E82" s="129"/>
      <c r="F82" s="130"/>
      <c r="G82" s="130"/>
      <c r="H82" s="131"/>
      <c r="I82" s="132"/>
      <c r="J82" s="133"/>
    </row>
    <row r="83">
      <c r="A83" s="134">
        <f t="shared" si="1"/>
        <v>75</v>
      </c>
      <c r="B83" s="135"/>
      <c r="C83" s="136"/>
      <c r="D83" s="136"/>
      <c r="E83" s="137"/>
      <c r="F83" s="138"/>
      <c r="G83" s="138"/>
      <c r="H83" s="139"/>
      <c r="I83" s="140"/>
      <c r="J83" s="141"/>
    </row>
    <row r="84">
      <c r="A84" s="126">
        <f t="shared" si="1"/>
        <v>76</v>
      </c>
      <c r="B84" s="127"/>
      <c r="C84" s="128"/>
      <c r="D84" s="128"/>
      <c r="E84" s="129"/>
      <c r="F84" s="130"/>
      <c r="G84" s="130"/>
      <c r="H84" s="131"/>
      <c r="I84" s="132"/>
      <c r="J84" s="133"/>
    </row>
    <row r="85">
      <c r="A85" s="134">
        <f t="shared" si="1"/>
        <v>77</v>
      </c>
      <c r="B85" s="135"/>
      <c r="C85" s="136"/>
      <c r="D85" s="136"/>
      <c r="E85" s="137"/>
      <c r="F85" s="138"/>
      <c r="G85" s="138"/>
      <c r="H85" s="139"/>
      <c r="I85" s="140"/>
      <c r="J85" s="141"/>
    </row>
    <row r="86">
      <c r="A86" s="126">
        <f t="shared" si="1"/>
        <v>78</v>
      </c>
      <c r="B86" s="127"/>
      <c r="C86" s="128"/>
      <c r="D86" s="128"/>
      <c r="E86" s="129"/>
      <c r="F86" s="130"/>
      <c r="G86" s="130"/>
      <c r="H86" s="131"/>
      <c r="I86" s="132"/>
      <c r="J86" s="133"/>
    </row>
    <row r="87">
      <c r="A87" s="134">
        <f t="shared" si="1"/>
        <v>79</v>
      </c>
      <c r="B87" s="135"/>
      <c r="C87" s="136"/>
      <c r="D87" s="136"/>
      <c r="E87" s="137"/>
      <c r="F87" s="138"/>
      <c r="G87" s="138"/>
      <c r="H87" s="139"/>
      <c r="I87" s="140"/>
      <c r="J87" s="141"/>
    </row>
    <row r="88">
      <c r="A88" s="126">
        <f t="shared" si="1"/>
        <v>80</v>
      </c>
      <c r="B88" s="127"/>
      <c r="C88" s="128"/>
      <c r="D88" s="128"/>
      <c r="E88" s="129"/>
      <c r="F88" s="130"/>
      <c r="G88" s="130"/>
      <c r="H88" s="131"/>
      <c r="I88" s="132"/>
      <c r="J88" s="133"/>
    </row>
    <row r="89">
      <c r="A89" s="134">
        <f t="shared" si="1"/>
        <v>81</v>
      </c>
      <c r="B89" s="135"/>
      <c r="C89" s="136"/>
      <c r="D89" s="136"/>
      <c r="E89" s="137"/>
      <c r="F89" s="138"/>
      <c r="G89" s="138"/>
      <c r="H89" s="139"/>
      <c r="I89" s="140"/>
      <c r="J89" s="141"/>
    </row>
    <row r="90">
      <c r="A90" s="126">
        <f t="shared" si="1"/>
        <v>82</v>
      </c>
      <c r="B90" s="127"/>
      <c r="C90" s="128"/>
      <c r="D90" s="128"/>
      <c r="E90" s="129"/>
      <c r="F90" s="130"/>
      <c r="G90" s="130"/>
      <c r="H90" s="131"/>
      <c r="I90" s="132"/>
      <c r="J90" s="133"/>
    </row>
    <row r="91">
      <c r="A91" s="134">
        <f t="shared" si="1"/>
        <v>83</v>
      </c>
      <c r="B91" s="135"/>
      <c r="C91" s="136"/>
      <c r="D91" s="136"/>
      <c r="E91" s="137"/>
      <c r="F91" s="138"/>
      <c r="G91" s="138"/>
      <c r="H91" s="139"/>
      <c r="I91" s="140"/>
      <c r="J91" s="141"/>
    </row>
    <row r="92">
      <c r="A92" s="126">
        <f t="shared" si="1"/>
        <v>84</v>
      </c>
      <c r="B92" s="127"/>
      <c r="C92" s="128"/>
      <c r="D92" s="128"/>
      <c r="E92" s="129"/>
      <c r="F92" s="130"/>
      <c r="G92" s="130"/>
      <c r="H92" s="131"/>
      <c r="I92" s="132"/>
      <c r="J92" s="133"/>
    </row>
    <row r="93">
      <c r="A93" s="134">
        <f t="shared" si="1"/>
        <v>85</v>
      </c>
      <c r="B93" s="135"/>
      <c r="C93" s="136"/>
      <c r="D93" s="136"/>
      <c r="E93" s="137"/>
      <c r="F93" s="138"/>
      <c r="G93" s="138"/>
      <c r="H93" s="139"/>
      <c r="I93" s="140"/>
      <c r="J93" s="141"/>
    </row>
    <row r="94">
      <c r="A94" s="142">
        <f t="shared" si="1"/>
        <v>86</v>
      </c>
      <c r="B94" s="143"/>
      <c r="C94" s="144"/>
      <c r="D94" s="144"/>
      <c r="E94" s="145"/>
      <c r="F94" s="146"/>
      <c r="G94" s="146"/>
      <c r="H94" s="147"/>
      <c r="I94" s="148"/>
      <c r="J94" s="149"/>
    </row>
  </sheetData>
  <customSheetViews>
    <customSheetView guid="{433210F3-E568-4E10-8BE5-208443D482CE}" filter="1" showAutoFilter="1">
      <autoFilter ref="$A$10:$J$94"/>
    </customSheetView>
    <customSheetView guid="{675BA8E4-D77F-4AF1-8F16-AB356EAF6F70}" filter="1" showAutoFilter="1">
      <autoFilter ref="$A$10:$J$94"/>
    </customSheetView>
  </customSheetViews>
  <mergeCells count="2">
    <mergeCell ref="B1:E1"/>
    <mergeCell ref="D3:E3"/>
  </mergeCells>
  <dataValidations>
    <dataValidation type="list" allowBlank="1" sqref="B11:B94">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94">
      <formula1>"0,1,2,3,4"</formula1>
    </dataValidation>
    <dataValidation type="list" allowBlank="1" sqref="J11:J94">
      <formula1>"Done,In progress,Not started"</formula1>
    </dataValidation>
    <dataValidation type="list" allowBlank="1" sqref="H11:H94">
      <formula1>"A,B,C,D"</formula1>
    </dataValidation>
    <dataValidation type="list" allowBlank="1" sqref="C11:C94">
      <formula1>"1. Simple Task,2. Moderate Task,3. Complex Task,4. All Tasks,5. Extra Violations"</formula1>
    </dataValidation>
  </dataValidations>
  <hyperlinks>
    <hyperlink r:id="rId1" ref="E13"/>
    <hyperlink r:id="rId2" ref="E20"/>
    <hyperlink r:id="rId3" ref="E22"/>
    <hyperlink r:id="rId4" ref="E23"/>
    <hyperlink r:id="rId5" ref="E24"/>
  </hyperlinks>
  <printOptions gridLines="1" horizontalCentered="1"/>
  <pageMargins bottom="0.75" footer="0.0" header="0.0" left="0.7" right="0.7" top="0.75"/>
  <pageSetup fitToHeight="0" cellComments="atEnd" orientation="landscape" pageOrder="overThenDown"/>
  <drawing r:id="rId6"/>
  <tableParts count="1">
    <tablePart r:id="rId8"/>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50" t="s">
        <v>263</v>
      </c>
      <c r="B1" s="151" t="s">
        <v>264</v>
      </c>
      <c r="C1" s="151" t="s">
        <v>265</v>
      </c>
      <c r="D1" s="151" t="s">
        <v>266</v>
      </c>
      <c r="E1" s="151" t="s">
        <v>267</v>
      </c>
      <c r="F1" s="151" t="s">
        <v>268</v>
      </c>
      <c r="G1" s="152" t="s">
        <v>269</v>
      </c>
      <c r="I1" s="153"/>
      <c r="J1" s="153"/>
      <c r="K1" s="153"/>
      <c r="L1" s="153"/>
    </row>
    <row r="2">
      <c r="A2" s="154" t="s">
        <v>23</v>
      </c>
      <c r="B2" s="155">
        <f>COUNTIFS('Group Heuristic Evaluation'!B:B, "H1: Visibility of System Status", 'Group Heuristic Evaluation'!D:D, 0)</f>
        <v>2</v>
      </c>
      <c r="C2" s="155">
        <f>COUNTIFS('Group Heuristic Evaluation'!B:B, "H1: Visibility of System Status", 'Group Heuristic Evaluation'!D:D, 1)</f>
        <v>2</v>
      </c>
      <c r="D2" s="156">
        <f>COUNTIFS('Group Heuristic Evaluation'!B:B, "H1: Visibility of System Status", 'Group Heuristic Evaluation'!D:D, 2)</f>
        <v>3</v>
      </c>
      <c r="E2" s="156">
        <f>COUNTIFS('Group Heuristic Evaluation'!B:B, "H1: Visibility of System Status", 'Group Heuristic Evaluation'!D:D, 3)</f>
        <v>1</v>
      </c>
      <c r="F2" s="156">
        <f>COUNTIFS('Group Heuristic Evaluation'!B:B, "H1: Visibility of System Status", 'Group Heuristic Evaluation'!D:D, 4)</f>
        <v>0</v>
      </c>
      <c r="G2" s="157">
        <f t="shared" ref="G2:G5" si="1">SUM(B2:F2)</f>
        <v>8</v>
      </c>
      <c r="I2" s="153"/>
      <c r="J2" s="153"/>
      <c r="K2" s="153"/>
      <c r="L2" s="153"/>
    </row>
    <row r="3">
      <c r="A3" s="158" t="s">
        <v>124</v>
      </c>
      <c r="B3" s="155">
        <f>COUNTIFS('Group Heuristic Evaluation'!B:B, "H2: Match b/w System &amp; World", 'Group Heuristic Evaluation'!D:D, 0)</f>
        <v>0</v>
      </c>
      <c r="C3" s="156">
        <f>COUNTIFS('Group Heuristic Evaluation'!B:B, "H2: Match b/w System &amp; World", 'Group Heuristic Evaluation'!D:D, 1)</f>
        <v>0</v>
      </c>
      <c r="D3" s="156">
        <f>COUNTIFS('Group Heuristic Evaluation'!B:B, "H2: Match b/w System &amp; World", 'Group Heuristic Evaluation'!D:D, 2)</f>
        <v>3</v>
      </c>
      <c r="E3" s="156">
        <f>COUNTIFS('Group Heuristic Evaluation'!B:B, "H2: Match b/w System &amp; World", 'Group Heuristic Evaluation'!D:D, 3)</f>
        <v>1</v>
      </c>
      <c r="F3" s="156">
        <f>COUNTIFS('Group Heuristic Evaluation'!B:B, "H2: Match b/w System &amp; World", 'Group Heuristic Evaluation'!D:D, 4)</f>
        <v>0</v>
      </c>
      <c r="G3" s="159">
        <f t="shared" si="1"/>
        <v>4</v>
      </c>
      <c r="I3" s="153"/>
      <c r="J3" s="153"/>
      <c r="K3" s="153"/>
      <c r="L3" s="153"/>
    </row>
    <row r="4">
      <c r="A4" s="158" t="s">
        <v>82</v>
      </c>
      <c r="B4" s="155">
        <f>COUNTIFS('Group Heuristic Evaluation'!B:B, "H3: User Control &amp; Freedom", 'Group Heuristic Evaluation'!D:D, 0)</f>
        <v>0</v>
      </c>
      <c r="C4" s="156">
        <f>COUNTIFS('Group Heuristic Evaluation'!B:B, "H3: User Control &amp; Freedom", 'Group Heuristic Evaluation'!D:D, 1)</f>
        <v>1</v>
      </c>
      <c r="D4" s="156">
        <f>COUNTIFS('Group Heuristic Evaluation'!B:B, "H3: User Control &amp; Freedom", 'Group Heuristic Evaluation'!D:D, 2)</f>
        <v>0</v>
      </c>
      <c r="E4" s="156">
        <f>COUNTIFS('Group Heuristic Evaluation'!B:B, "H3: User Control &amp; Freedom", 'Group Heuristic Evaluation'!D:D, 3)</f>
        <v>2</v>
      </c>
      <c r="F4" s="156">
        <f>COUNTIFS('Group Heuristic Evaluation'!B:B, "H3: User Control &amp; Freedom", 'Group Heuristic Evaluation'!D:D, 4)</f>
        <v>0</v>
      </c>
      <c r="G4" s="159">
        <f t="shared" si="1"/>
        <v>3</v>
      </c>
      <c r="I4" s="153"/>
      <c r="J4" s="153"/>
      <c r="K4" s="153"/>
      <c r="L4" s="153"/>
    </row>
    <row r="5">
      <c r="A5" s="158" t="s">
        <v>53</v>
      </c>
      <c r="B5" s="155">
        <f>COUNTIFS('Group Heuristic Evaluation'!B:B, "H4: Consistency &amp; Standards", 'Group Heuristic Evaluation'!D:D, 0)</f>
        <v>0</v>
      </c>
      <c r="C5" s="156">
        <f>COUNTIFS('Group Heuristic Evaluation'!B:B, "H4: Consistency &amp; Standards", 'Group Heuristic Evaluation'!D:D, 1)</f>
        <v>4</v>
      </c>
      <c r="D5" s="156">
        <f>COUNTIFS('Group Heuristic Evaluation'!B:B, "H4: Consistency &amp; Standards", 'Group Heuristic Evaluation'!D:D, 2)</f>
        <v>2</v>
      </c>
      <c r="E5" s="156">
        <f>COUNTIFS('Group Heuristic Evaluation'!B:B, "H4: Consistency &amp; Standards", 'Group Heuristic Evaluation'!D:D, 3)</f>
        <v>4</v>
      </c>
      <c r="F5" s="156">
        <f>COUNTIFS('Group Heuristic Evaluation'!B:B, "H4: Consistency &amp; Standards", 'Group Heuristic Evaluation'!D:D, 4)</f>
        <v>0</v>
      </c>
      <c r="G5" s="159">
        <f t="shared" si="1"/>
        <v>10</v>
      </c>
      <c r="I5" s="153"/>
      <c r="J5" s="153"/>
      <c r="K5" s="153"/>
      <c r="L5" s="153"/>
    </row>
    <row r="6">
      <c r="A6" s="158" t="s">
        <v>90</v>
      </c>
      <c r="B6" s="155">
        <f>COUNTIFS('Group Heuristic Evaluation'!B:B, "H5: Error Prevention", 'Group Heuristic Evaluation'!D:D, 0)</f>
        <v>0</v>
      </c>
      <c r="C6" s="156">
        <f>COUNTIFS('Group Heuristic Evaluation'!B:B, "H5: Error Prevention", 'Group Heuristic Evaluation'!D:D, 1)</f>
        <v>1</v>
      </c>
      <c r="D6" s="156">
        <f>COUNTIFS('Group Heuristic Evaluation'!B:B, "H5: Error Prevention", 'Group Heuristic Evaluation'!D:D, 2)</f>
        <v>3</v>
      </c>
      <c r="E6" s="156">
        <f>COUNTIFS('Group Heuristic Evaluation'!B:B, "H5: Error Prevention", 'Group Heuristic Evaluation'!D:D, 3)</f>
        <v>1</v>
      </c>
      <c r="F6" s="156">
        <f>COUNTIFS('Group Heuristic Evaluation'!B:B, "H5: Error Prevention", 'Group Heuristic Evaluation'!D:D, 4)</f>
        <v>0</v>
      </c>
      <c r="G6" s="159">
        <f>SUM(C6:F6)</f>
        <v>5</v>
      </c>
      <c r="I6" s="153"/>
      <c r="J6" s="153"/>
      <c r="K6" s="153"/>
      <c r="L6" s="153"/>
    </row>
    <row r="7">
      <c r="A7" s="158" t="s">
        <v>119</v>
      </c>
      <c r="B7" s="155">
        <f>COUNTIFS('Group Heuristic Evaluation'!B:B, "H6: Recognition not Recall", 'Group Heuristic Evaluation'!D:D, 0)</f>
        <v>0</v>
      </c>
      <c r="C7" s="156">
        <f>COUNTIFS('Group Heuristic Evaluation'!B:B, "H6: Recognition not Recall", 'Group Heuristic Evaluation'!D:D, 1)</f>
        <v>0</v>
      </c>
      <c r="D7" s="156">
        <f>COUNTIFS('Group Heuristic Evaluation'!B:B, "H6: Recognition not Recall", 'Group Heuristic Evaluation'!D:D, 2)</f>
        <v>4</v>
      </c>
      <c r="E7" s="156">
        <f>COUNTIFS('Group Heuristic Evaluation'!B:B, "H6: Recognition not Recall", 'Group Heuristic Evaluation'!D:D, 3)</f>
        <v>0</v>
      </c>
      <c r="F7" s="156">
        <f>COUNTIFS('Group Heuristic Evaluation'!B:B, "H6: Recognition not Recall", 'Group Heuristic Evaluation'!D:D, 4)</f>
        <v>0</v>
      </c>
      <c r="G7" s="159">
        <f t="shared" ref="G7:G13" si="2">SUM(B7:F7)</f>
        <v>4</v>
      </c>
      <c r="I7" s="153"/>
      <c r="J7" s="153"/>
      <c r="K7" s="153"/>
      <c r="L7" s="153"/>
    </row>
    <row r="8">
      <c r="A8" s="158" t="s">
        <v>42</v>
      </c>
      <c r="B8" s="155">
        <f>COUNTIFS('Group Heuristic Evaluation'!B:B, "H7: Flexibility &amp; Efficiency of Use", 'Group Heuristic Evaluation'!D:D, 0)</f>
        <v>0</v>
      </c>
      <c r="C8" s="156">
        <f>COUNTIFS('Group Heuristic Evaluation'!B:B, "H7: Flexibility &amp; Efficiency of Use", 'Group Heuristic Evaluation'!D:D, 1)</f>
        <v>4</v>
      </c>
      <c r="D8" s="156">
        <f>COUNTIFS('Group Heuristic Evaluation'!B:B, "H7: Flexibility &amp; Efficiency of Use", 'Group Heuristic Evaluation'!D:D, 2)</f>
        <v>2</v>
      </c>
      <c r="E8" s="156">
        <f>COUNTIFS('Group Heuristic Evaluation'!B:B, "H7: Flexibility &amp; Efficiency of Use", 'Group Heuristic Evaluation'!D:D, 3)</f>
        <v>2</v>
      </c>
      <c r="F8" s="156">
        <f>COUNTIFS('Group Heuristic Evaluation'!B:B, "H7: Flexibility &amp; Efficiency of Use", 'Group Heuristic Evaluation'!D:D, 4)</f>
        <v>0</v>
      </c>
      <c r="G8" s="159">
        <f t="shared" si="2"/>
        <v>8</v>
      </c>
      <c r="I8" s="153"/>
      <c r="J8" s="153"/>
      <c r="K8" s="153"/>
      <c r="L8" s="153"/>
    </row>
    <row r="9">
      <c r="A9" s="158" t="s">
        <v>96</v>
      </c>
      <c r="B9" s="155">
        <f>COUNTIFS('Group Heuristic Evaluation'!B:B, "H8: Aesthetic &amp; Minimalist Design", 'Group Heuristic Evaluation'!D:D, 0)</f>
        <v>0</v>
      </c>
      <c r="C9" s="160">
        <f>COUNTIFS('Group Heuristic Evaluation'!B:B, "H8: Aesthetic &amp; Minimalist Design", 'Group Heuristic Evaluation'!D:D, 1)</f>
        <v>4</v>
      </c>
      <c r="D9" s="160">
        <f>COUNTIFS('Group Heuristic Evaluation'!B:B, "H8: Aesthetic &amp; Minimalist Design", 'Group Heuristic Evaluation'!D:D, 2)</f>
        <v>1</v>
      </c>
      <c r="E9" s="160">
        <f>COUNTIFS('Group Heuristic Evaluation'!B:B, "H8: Aesthetic &amp; Minimalist Design", 'Group Heuristic Evaluation'!D:D, 3)</f>
        <v>0</v>
      </c>
      <c r="F9" s="160">
        <f>COUNTIFS('Group Heuristic Evaluation'!B:B, "H8: Aesthetic &amp; Minimalist Design", 'Group Heuristic Evaluation'!D:D, 4)</f>
        <v>0</v>
      </c>
      <c r="G9" s="159">
        <f t="shared" si="2"/>
        <v>5</v>
      </c>
      <c r="I9" s="153"/>
      <c r="J9" s="153"/>
      <c r="K9" s="153"/>
      <c r="L9" s="153"/>
    </row>
    <row r="10">
      <c r="A10" s="158" t="s">
        <v>147</v>
      </c>
      <c r="B10" s="155">
        <f>COUNTIFS('Group Heuristic Evaluation'!B:B, "H9: Help Users with Errors", 'Group Heuristic Evaluation'!D:D, 0)</f>
        <v>0</v>
      </c>
      <c r="C10" s="160">
        <f>COUNTIFS('Group Heuristic Evaluation'!B:B, "H9: Help Users with Errors", 'Group Heuristic Evaluation'!D:D, 1)</f>
        <v>0</v>
      </c>
      <c r="D10" s="160">
        <f>COUNTIFS('Group Heuristic Evaluation'!B:B, "H9: Help Users with Errors", 'Group Heuristic Evaluation'!D:D, 2)</f>
        <v>1</v>
      </c>
      <c r="E10" s="160">
        <f>COUNTIFS('Group Heuristic Evaluation'!B:B, "H9: Help Users with Errors", 'Group Heuristic Evaluation'!D:D, 3)</f>
        <v>2</v>
      </c>
      <c r="F10" s="160">
        <f>COUNTIFS('Group Heuristic Evaluation'!B:B, "H9: Help Users with Errors", 'Group Heuristic Evaluation'!D:D, 4)</f>
        <v>0</v>
      </c>
      <c r="G10" s="159">
        <f t="shared" si="2"/>
        <v>3</v>
      </c>
      <c r="I10" s="153"/>
      <c r="J10" s="153"/>
      <c r="K10" s="153"/>
      <c r="L10" s="153"/>
    </row>
    <row r="11">
      <c r="A11" s="158" t="s">
        <v>36</v>
      </c>
      <c r="B11" s="155">
        <f>COUNTIFS('Group Heuristic Evaluation'!B:B, "H10: Help &amp; Documentation", 'Group Heuristic Evaluation'!D:D, 0)</f>
        <v>0</v>
      </c>
      <c r="C11" s="160">
        <f>COUNTIFS('Group Heuristic Evaluation'!B:B, "H10: Help &amp; Documentation", 'Group Heuristic Evaluation'!D:D, 1)</f>
        <v>2</v>
      </c>
      <c r="D11" s="160">
        <f>COUNTIFS('Group Heuristic Evaluation'!B:B, "H10: Help &amp; Documentation", 'Group Heuristic Evaluation'!D:D, 2)</f>
        <v>0</v>
      </c>
      <c r="E11" s="160">
        <f>COUNTIFS('Group Heuristic Evaluation'!B:B, "H10: Help &amp; Documentation", 'Group Heuristic Evaluation'!D:D, 3)</f>
        <v>2</v>
      </c>
      <c r="F11" s="160">
        <f>COUNTIFS('Group Heuristic Evaluation'!B:B, "H10: Help &amp; Documentation", 'Group Heuristic Evaluation'!D:D, 4)</f>
        <v>0</v>
      </c>
      <c r="G11" s="159">
        <f t="shared" si="2"/>
        <v>4</v>
      </c>
      <c r="I11" s="153"/>
      <c r="J11" s="153"/>
      <c r="K11" s="153"/>
      <c r="L11" s="153"/>
    </row>
    <row r="12">
      <c r="A12" s="158" t="s">
        <v>104</v>
      </c>
      <c r="B12" s="155">
        <f>COUNTIFS('Group Heuristic Evaluation'!B:B, "H11: Accessible Design", 'Group Heuristic Evaluation'!D:D, 0)</f>
        <v>0</v>
      </c>
      <c r="C12" s="160">
        <f>COUNTIFS('Group Heuristic Evaluation'!B:B, "H11: Accessible Design", 'Group Heuristic Evaluation'!D:D, 1)</f>
        <v>1</v>
      </c>
      <c r="D12" s="160">
        <f>COUNTIFS('Group Heuristic Evaluation'!B:B, "H11: Accessible Design", 'Group Heuristic Evaluation'!D:D, 2)</f>
        <v>0</v>
      </c>
      <c r="E12" s="160">
        <f>COUNTIFS('Group Heuristic Evaluation'!B:B, "H11: Accessible Design", 'Group Heuristic Evaluation'!D:D, 3)</f>
        <v>1</v>
      </c>
      <c r="F12" s="160">
        <f>COUNTIFS('Group Heuristic Evaluation'!B:B, "H11: Accessible Design", 'Group Heuristic Evaluation'!D:D, 4)</f>
        <v>0</v>
      </c>
      <c r="G12" s="159">
        <f t="shared" si="2"/>
        <v>2</v>
      </c>
      <c r="I12" s="153"/>
      <c r="J12" s="153"/>
      <c r="K12" s="153"/>
      <c r="L12" s="153"/>
    </row>
    <row r="13">
      <c r="A13" s="158" t="s">
        <v>270</v>
      </c>
      <c r="B13" s="155">
        <f>COUNTIFS('Group Heuristic Evaluation'!B:B, "H12: Value Alignment &amp; Inclusion", 'Group Heuristic Evaluation'!D:D, 0)</f>
        <v>0</v>
      </c>
      <c r="C13" s="160">
        <f>COUNTIFS('Group Heuristic Evaluation'!B:B, "H12: Value Alignment &amp; Inclusion", 'Group Heuristic Evaluation'!D:D, 1)</f>
        <v>1</v>
      </c>
      <c r="D13" s="160">
        <f>COUNTIFS('Group Heuristic Evaluation'!B:B, "H12: Value Alignment &amp; Inclusion", 'Group Heuristic Evaluation'!D:D, 2)</f>
        <v>1</v>
      </c>
      <c r="E13" s="160">
        <f>COUNTIFS('Group Heuristic Evaluation'!B:B, "H12: Value Alignment &amp; Inclusion", 'Group Heuristic Evaluation'!D:D, 3)</f>
        <v>2</v>
      </c>
      <c r="F13" s="160">
        <f>COUNTIFS('Group Heuristic Evaluation'!B:B, "H12: Value Alignment &amp; Inclusion", 'Group Heuristic Evaluation'!D:D, 4)</f>
        <v>1</v>
      </c>
      <c r="G13" s="159">
        <f t="shared" si="2"/>
        <v>5</v>
      </c>
      <c r="I13" s="153"/>
      <c r="J13" s="153"/>
      <c r="K13" s="153"/>
      <c r="L13" s="153"/>
    </row>
    <row r="14">
      <c r="A14" s="161" t="s">
        <v>271</v>
      </c>
      <c r="B14" s="162">
        <f>SUM(B2:B13)</f>
        <v>2</v>
      </c>
      <c r="C14" s="162">
        <f t="shared" ref="C14:D14" si="3">SUM(C1:C13)</f>
        <v>20</v>
      </c>
      <c r="D14" s="162">
        <f t="shared" si="3"/>
        <v>20</v>
      </c>
      <c r="E14" s="162">
        <f t="shared" ref="E14:G14" si="4">SUM(E2:E13)</f>
        <v>18</v>
      </c>
      <c r="F14" s="162">
        <f t="shared" si="4"/>
        <v>1</v>
      </c>
      <c r="G14" s="163">
        <f t="shared" si="4"/>
        <v>61</v>
      </c>
      <c r="I14" s="153"/>
      <c r="J14" s="153"/>
      <c r="K14" s="153"/>
      <c r="L14" s="153"/>
    </row>
    <row r="16">
      <c r="A16" s="164"/>
      <c r="B16" s="164"/>
      <c r="C16" s="164"/>
      <c r="D16" s="164"/>
      <c r="E16" s="164"/>
      <c r="F16" s="164"/>
      <c r="G16" s="164"/>
    </row>
    <row r="17">
      <c r="A17" s="164"/>
      <c r="B17" s="164"/>
      <c r="C17" s="164"/>
      <c r="D17" s="164"/>
      <c r="E17" s="164"/>
      <c r="F17" s="164"/>
      <c r="G17" s="164"/>
    </row>
    <row r="18">
      <c r="A18" s="164"/>
      <c r="B18" s="164"/>
      <c r="C18" s="164"/>
      <c r="D18" s="164"/>
      <c r="E18" s="164"/>
      <c r="F18" s="164"/>
      <c r="G18" s="164"/>
    </row>
    <row r="19">
      <c r="A19" s="164"/>
      <c r="B19" s="164"/>
      <c r="C19" s="164"/>
      <c r="D19" s="164"/>
      <c r="E19" s="164"/>
      <c r="F19" s="164"/>
      <c r="G19" s="164"/>
    </row>
    <row r="20">
      <c r="A20" s="164"/>
      <c r="B20" s="164"/>
      <c r="C20" s="164"/>
      <c r="D20" s="164"/>
      <c r="E20" s="164"/>
      <c r="F20" s="164"/>
      <c r="G20" s="164"/>
    </row>
    <row r="21">
      <c r="A21" s="164"/>
      <c r="B21" s="164"/>
      <c r="C21" s="164"/>
      <c r="D21" s="164"/>
      <c r="E21" s="164"/>
      <c r="F21" s="164"/>
      <c r="G21" s="164"/>
    </row>
    <row r="22">
      <c r="A22" s="164"/>
      <c r="B22" s="164"/>
      <c r="C22" s="164"/>
      <c r="D22" s="164"/>
      <c r="E22" s="164"/>
      <c r="F22" s="164"/>
      <c r="G22" s="164"/>
    </row>
    <row r="23">
      <c r="A23" s="164"/>
      <c r="B23" s="164"/>
      <c r="C23" s="164"/>
      <c r="D23" s="164"/>
      <c r="E23" s="164"/>
      <c r="F23" s="164"/>
      <c r="G23" s="164"/>
    </row>
    <row r="24">
      <c r="A24" s="164"/>
      <c r="B24" s="164"/>
      <c r="C24" s="164"/>
      <c r="D24" s="164"/>
      <c r="E24" s="164"/>
      <c r="F24" s="164"/>
      <c r="G24" s="164"/>
    </row>
    <row r="25">
      <c r="A25" s="164"/>
      <c r="B25" s="164"/>
      <c r="C25" s="164"/>
      <c r="D25" s="164"/>
      <c r="E25" s="164"/>
      <c r="F25" s="164"/>
      <c r="G25" s="164"/>
    </row>
    <row r="26">
      <c r="A26" s="164"/>
      <c r="B26" s="164"/>
      <c r="C26" s="164"/>
      <c r="D26" s="164"/>
      <c r="E26" s="164"/>
      <c r="F26" s="164"/>
      <c r="G26" s="164"/>
    </row>
    <row r="27">
      <c r="A27" s="164"/>
      <c r="B27" s="164"/>
      <c r="C27" s="164"/>
      <c r="D27" s="164"/>
      <c r="E27" s="164"/>
      <c r="F27" s="164"/>
      <c r="G27" s="164"/>
    </row>
    <row r="28">
      <c r="A28" s="164"/>
      <c r="B28" s="164"/>
      <c r="C28" s="164"/>
      <c r="D28" s="164"/>
      <c r="E28" s="164"/>
      <c r="F28" s="164"/>
      <c r="G28" s="164"/>
    </row>
    <row r="29">
      <c r="A29" s="164"/>
      <c r="B29" s="164"/>
      <c r="C29" s="164"/>
      <c r="D29" s="164"/>
      <c r="E29" s="164"/>
      <c r="F29" s="164"/>
      <c r="G29" s="164"/>
    </row>
    <row r="32">
      <c r="A32" s="165"/>
      <c r="B32" s="165"/>
      <c r="C32" s="165"/>
      <c r="D32" s="165"/>
      <c r="E32" s="165"/>
      <c r="F32" s="165"/>
      <c r="G32" s="165"/>
    </row>
    <row r="33">
      <c r="A33" s="165"/>
      <c r="B33" s="165"/>
      <c r="C33" s="165"/>
      <c r="D33" s="165"/>
      <c r="E33" s="165"/>
      <c r="F33" s="165"/>
      <c r="G33" s="165"/>
    </row>
    <row r="34">
      <c r="A34" s="165"/>
      <c r="B34" s="165"/>
      <c r="C34" s="165"/>
      <c r="D34" s="165"/>
      <c r="E34" s="165"/>
      <c r="F34" s="165"/>
      <c r="G34" s="165"/>
    </row>
    <row r="35">
      <c r="A35" s="165"/>
      <c r="B35" s="165"/>
      <c r="C35" s="165"/>
      <c r="D35" s="165"/>
      <c r="E35" s="165"/>
      <c r="F35" s="165"/>
      <c r="G35" s="165"/>
    </row>
    <row r="36">
      <c r="A36" s="165"/>
      <c r="B36" s="165"/>
      <c r="C36" s="165"/>
      <c r="D36" s="165"/>
      <c r="E36" s="165"/>
      <c r="F36" s="165"/>
      <c r="G36" s="165"/>
    </row>
    <row r="37">
      <c r="A37" s="165"/>
      <c r="B37" s="165"/>
      <c r="C37" s="165"/>
      <c r="D37" s="165"/>
      <c r="E37" s="165"/>
      <c r="F37" s="165"/>
      <c r="G37" s="165"/>
    </row>
    <row r="38">
      <c r="A38" s="165"/>
      <c r="B38" s="165"/>
      <c r="C38" s="165"/>
      <c r="D38" s="165"/>
      <c r="E38" s="165"/>
      <c r="F38" s="165"/>
      <c r="G38" s="165"/>
    </row>
    <row r="39">
      <c r="A39" s="165"/>
      <c r="B39" s="165"/>
      <c r="C39" s="165"/>
      <c r="D39" s="165"/>
      <c r="E39" s="165"/>
      <c r="F39" s="165"/>
      <c r="G39" s="165"/>
    </row>
    <row r="40">
      <c r="A40" s="165"/>
      <c r="B40" s="165"/>
      <c r="C40" s="165"/>
      <c r="D40" s="165"/>
      <c r="E40" s="165"/>
      <c r="F40" s="165"/>
      <c r="G40" s="165"/>
    </row>
    <row r="41">
      <c r="A41" s="165"/>
      <c r="B41" s="165"/>
      <c r="C41" s="165"/>
      <c r="D41" s="165"/>
      <c r="E41" s="165"/>
      <c r="F41" s="165"/>
      <c r="G41" s="165"/>
    </row>
    <row r="42">
      <c r="A42" s="165"/>
      <c r="B42" s="165"/>
      <c r="C42" s="165"/>
      <c r="D42" s="165"/>
      <c r="E42" s="165"/>
      <c r="F42" s="165"/>
      <c r="G42" s="165"/>
    </row>
    <row r="43">
      <c r="A43" s="165"/>
      <c r="B43" s="165"/>
      <c r="C43" s="165"/>
      <c r="D43" s="165"/>
      <c r="E43" s="165"/>
      <c r="F43" s="165"/>
      <c r="G43" s="165"/>
    </row>
    <row r="44">
      <c r="A44" s="165"/>
      <c r="B44" s="165"/>
      <c r="C44" s="165"/>
      <c r="D44" s="165"/>
      <c r="E44" s="165"/>
      <c r="F44" s="165"/>
      <c r="G44" s="165"/>
    </row>
    <row r="45">
      <c r="A45" s="165"/>
      <c r="B45" s="165"/>
      <c r="C45" s="165"/>
      <c r="D45" s="165"/>
      <c r="E45" s="165"/>
      <c r="F45" s="165"/>
      <c r="G45" s="165"/>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66" t="s">
        <v>272</v>
      </c>
    </row>
    <row r="2">
      <c r="A2" s="167" t="s">
        <v>273</v>
      </c>
      <c r="B2" s="167" t="s">
        <v>28</v>
      </c>
      <c r="C2" s="167" t="s">
        <v>46</v>
      </c>
      <c r="D2" s="167" t="s">
        <v>51</v>
      </c>
      <c r="E2" s="167" t="s">
        <v>35</v>
      </c>
    </row>
    <row r="3">
      <c r="A3" s="168">
        <v>0.0</v>
      </c>
      <c r="B3" s="160">
        <f>COUNTIFS('Group Heuristic Evaluation'!H:H, "*A*",'Group Heuristic Evaluation'!D:D, 0)/COUNTA('Group Heuristic Evaluation'!B:B)
</f>
        <v>0.01515151515</v>
      </c>
      <c r="C3" s="169">
        <f>COUNTIFS('Group Heuristic Evaluation'!H:H, "*B*",'Group Heuristic Evaluation'!D:D, 0)/COUNTA('Group Heuristic Evaluation'!B:B)</f>
        <v>0</v>
      </c>
      <c r="D3" s="160">
        <f>COUNTIFS('Group Heuristic Evaluation'!H:H, "*C*",'Group Heuristic Evaluation'!D:D, 0)/COUNTA('Group Heuristic Evaluation'!B:B)</f>
        <v>0</v>
      </c>
      <c r="E3" s="160">
        <f>COUNTIFS('Group Heuristic Evaluation'!H:H, "*D*",'Group Heuristic Evaluation'!D:D, 0)/COUNTA('Group Heuristic Evaluation'!B:B)</f>
        <v>0.01515151515</v>
      </c>
    </row>
    <row r="4">
      <c r="A4" s="168">
        <v>1.0</v>
      </c>
      <c r="B4" s="160">
        <f>COUNTIFS('Group Heuristic Evaluation'!H:H, "*A*",'Group Heuristic Evaluation'!D:D, 1)/COUNTA('Group Heuristic Evaluation'!B:B)
</f>
        <v>0.09090909091</v>
      </c>
      <c r="C4" s="169">
        <f>COUNTIFS('Group Heuristic Evaluation'!H:H, "*B*",'Group Heuristic Evaluation'!D:D, 1)/COUNTA('Group Heuristic Evaluation'!B:B)</f>
        <v>0.04545454545</v>
      </c>
      <c r="D4" s="160">
        <f>COUNTIFS('Group Heuristic Evaluation'!H:H, "*C*",'Group Heuristic Evaluation'!D:D, 1)/COUNTA('Group Heuristic Evaluation'!B:B)</f>
        <v>0.1060606061</v>
      </c>
      <c r="E4" s="160">
        <f>COUNTIFS('Group Heuristic Evaluation'!H:H, "*D*",'Group Heuristic Evaluation'!D:D, 1)/COUNTA('Group Heuristic Evaluation'!B:B)</f>
        <v>0.09090909091</v>
      </c>
    </row>
    <row r="5">
      <c r="A5" s="168">
        <v>2.0</v>
      </c>
      <c r="B5" s="160">
        <f>COUNTIFS('Group Heuristic Evaluation'!H:H, "*A*",'Group Heuristic Evaluation'!D:D, 2)/COUNTA('Group Heuristic Evaluation'!B:B)
</f>
        <v>0.1363636364</v>
      </c>
      <c r="C5" s="169">
        <f>COUNTIFS('Group Heuristic Evaluation'!H:H, "*B*",'Group Heuristic Evaluation'!D:D, 2)/COUNTA('Group Heuristic Evaluation'!B:B)</f>
        <v>0.09090909091</v>
      </c>
      <c r="D5" s="160">
        <f>COUNTIFS('Group Heuristic Evaluation'!H:H, "*C*",'Group Heuristic Evaluation'!D:D, 2)/COUNTA('Group Heuristic Evaluation'!B:B)</f>
        <v>0.1060606061</v>
      </c>
      <c r="E5" s="160">
        <f>COUNTIFS('Group Heuristic Evaluation'!H:H, "*D*",'Group Heuristic Evaluation'!D:D, 2)/COUNTA('Group Heuristic Evaluation'!B:B)</f>
        <v>0.1363636364</v>
      </c>
    </row>
    <row r="6">
      <c r="A6" s="168">
        <v>3.0</v>
      </c>
      <c r="B6" s="160">
        <f>COUNTIFS('Group Heuristic Evaluation'!H:H, "*A*",'Group Heuristic Evaluation'!D:D, 3)/COUNTA('Group Heuristic Evaluation'!B:B)
</f>
        <v>0.1363636364</v>
      </c>
      <c r="C6" s="169">
        <f>COUNTIFS('Group Heuristic Evaluation'!H:H, "*B*",'Group Heuristic Evaluation'!D:D, 3)/COUNTA('Group Heuristic Evaluation'!B:B)</f>
        <v>0.06060606061</v>
      </c>
      <c r="D6" s="160">
        <f>COUNTIFS('Group Heuristic Evaluation'!H:H, "*C*",'Group Heuristic Evaluation'!D:D, 3)/COUNTA('Group Heuristic Evaluation'!B:B)</f>
        <v>0.04545454545</v>
      </c>
      <c r="E6" s="160">
        <f>COUNTIFS('Group Heuristic Evaluation'!H:H, "*D*",'Group Heuristic Evaluation'!D:D, 3)/COUNTA('Group Heuristic Evaluation'!B:B)</f>
        <v>0.1666666667</v>
      </c>
    </row>
    <row r="7">
      <c r="A7" s="168">
        <v>4.0</v>
      </c>
      <c r="B7" s="160">
        <f>COUNTIFS('Group Heuristic Evaluation'!H:H, "*A*",'Group Heuristic Evaluation'!D:D, 4)/COUNTA('Group Heuristic Evaluation'!B:B)
</f>
        <v>0.01515151515</v>
      </c>
      <c r="C7" s="169">
        <f>COUNTIFS('Group Heuristic Evaluation'!H:H, "*B*",'Group Heuristic Evaluation'!D:D, 4)/COUNTA('Group Heuristic Evaluation'!B:B)</f>
        <v>0</v>
      </c>
      <c r="D7" s="160">
        <f>COUNTIFS('Group Heuristic Evaluation'!H:H, "*C*",'Group Heuristic Evaluation'!D:D, 4)/COUNTA('Group Heuristic Evaluation'!B:B)</f>
        <v>0</v>
      </c>
      <c r="E7" s="160">
        <f>COUNTIFS('Group Heuristic Evaluation'!H:H, "*D*",'Group Heuristic Evaluation'!D:D, 4)/COUNTA('Group Heuristic Evaluation'!B:B)</f>
        <v>0</v>
      </c>
    </row>
    <row r="8">
      <c r="A8" s="153" t="s">
        <v>274</v>
      </c>
      <c r="B8" s="170">
        <f t="shared" ref="B8:E8" si="1">SUM(B6:B7)</f>
        <v>0.1515151515</v>
      </c>
      <c r="C8" s="170">
        <f t="shared" si="1"/>
        <v>0.06060606061</v>
      </c>
      <c r="D8" s="170">
        <f t="shared" si="1"/>
        <v>0.04545454545</v>
      </c>
      <c r="E8" s="170">
        <f t="shared" si="1"/>
        <v>0.1666666667</v>
      </c>
    </row>
    <row r="9">
      <c r="A9" s="153" t="s">
        <v>275</v>
      </c>
      <c r="B9" s="170">
        <f t="shared" ref="B9:E9" si="2">SUM(B3:B7)</f>
        <v>0.3939393939</v>
      </c>
      <c r="C9" s="170">
        <f t="shared" si="2"/>
        <v>0.196969697</v>
      </c>
      <c r="D9" s="170">
        <f t="shared" si="2"/>
        <v>0.2575757576</v>
      </c>
      <c r="E9" s="170">
        <f t="shared" si="2"/>
        <v>0.4090909091</v>
      </c>
    </row>
    <row r="15">
      <c r="H15" s="160"/>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71" t="s">
        <v>276</v>
      </c>
      <c r="B1" s="172"/>
      <c r="C1" s="172"/>
      <c r="D1" s="172"/>
      <c r="E1" s="172"/>
      <c r="F1" s="172"/>
      <c r="G1" s="173"/>
    </row>
    <row r="2">
      <c r="A2" s="174" t="s">
        <v>277</v>
      </c>
      <c r="G2" s="175"/>
      <c r="H2" s="176"/>
      <c r="I2" s="176"/>
      <c r="J2" s="176"/>
      <c r="K2" s="176"/>
      <c r="L2" s="176"/>
      <c r="M2" s="176"/>
      <c r="N2" s="176"/>
      <c r="O2" s="176"/>
      <c r="P2" s="176"/>
    </row>
    <row r="3">
      <c r="A3" s="177"/>
      <c r="G3" s="175"/>
      <c r="H3" s="176"/>
      <c r="I3" s="176"/>
      <c r="J3" s="176"/>
      <c r="K3" s="176"/>
      <c r="L3" s="176"/>
      <c r="M3" s="176"/>
      <c r="N3" s="176"/>
      <c r="O3" s="176"/>
      <c r="P3" s="176"/>
    </row>
    <row r="4">
      <c r="A4" s="177"/>
      <c r="G4" s="175"/>
      <c r="H4" s="176"/>
      <c r="I4" s="176"/>
      <c r="J4" s="176"/>
      <c r="K4" s="176"/>
      <c r="L4" s="176"/>
      <c r="M4" s="176"/>
      <c r="N4" s="176"/>
      <c r="O4" s="176"/>
      <c r="P4" s="176"/>
    </row>
    <row r="5">
      <c r="A5" s="177"/>
      <c r="G5" s="175"/>
      <c r="H5" s="176"/>
      <c r="I5" s="176"/>
      <c r="J5" s="176"/>
      <c r="K5" s="176"/>
      <c r="L5" s="176"/>
      <c r="M5" s="176"/>
      <c r="N5" s="176"/>
      <c r="O5" s="176"/>
      <c r="P5" s="176"/>
    </row>
    <row r="6">
      <c r="A6" s="177"/>
      <c r="G6" s="175"/>
      <c r="H6" s="176"/>
      <c r="I6" s="176"/>
      <c r="J6" s="176"/>
      <c r="K6" s="176"/>
      <c r="L6" s="176"/>
      <c r="M6" s="176"/>
      <c r="N6" s="176"/>
      <c r="O6" s="176"/>
      <c r="P6" s="176"/>
    </row>
    <row r="7">
      <c r="A7" s="177"/>
      <c r="G7" s="175"/>
      <c r="H7" s="176"/>
      <c r="I7" s="176"/>
      <c r="J7" s="176"/>
      <c r="K7" s="176"/>
      <c r="L7" s="176"/>
      <c r="M7" s="176"/>
      <c r="N7" s="176"/>
      <c r="O7" s="176"/>
      <c r="P7" s="176"/>
    </row>
    <row r="8">
      <c r="A8" s="177"/>
      <c r="G8" s="175"/>
      <c r="H8" s="176"/>
      <c r="I8" s="176"/>
      <c r="J8" s="176"/>
      <c r="K8" s="176"/>
      <c r="L8" s="176"/>
      <c r="M8" s="176"/>
      <c r="N8" s="176"/>
      <c r="O8" s="176"/>
      <c r="P8" s="176"/>
    </row>
    <row r="9">
      <c r="A9" s="177"/>
      <c r="G9" s="175"/>
      <c r="H9" s="176"/>
      <c r="I9" s="176"/>
      <c r="J9" s="176"/>
      <c r="K9" s="176"/>
      <c r="L9" s="176"/>
      <c r="M9" s="176"/>
      <c r="N9" s="176"/>
      <c r="O9" s="176"/>
      <c r="P9" s="176"/>
    </row>
    <row r="10">
      <c r="A10" s="177"/>
      <c r="G10" s="175"/>
      <c r="H10" s="176"/>
      <c r="I10" s="176"/>
      <c r="J10" s="176"/>
      <c r="K10" s="176"/>
      <c r="L10" s="176"/>
      <c r="M10" s="176"/>
      <c r="N10" s="176"/>
      <c r="O10" s="176"/>
      <c r="P10" s="176"/>
    </row>
    <row r="11">
      <c r="A11" s="177"/>
      <c r="G11" s="175"/>
      <c r="H11" s="176"/>
      <c r="I11" s="176"/>
      <c r="J11" s="176"/>
      <c r="K11" s="176"/>
      <c r="L11" s="176"/>
      <c r="M11" s="176"/>
      <c r="N11" s="176"/>
      <c r="O11" s="176"/>
      <c r="P11" s="176"/>
    </row>
    <row r="12">
      <c r="A12" s="177"/>
      <c r="G12" s="175"/>
      <c r="H12" s="176"/>
      <c r="I12" s="176"/>
      <c r="J12" s="176"/>
      <c r="K12" s="176"/>
      <c r="L12" s="176"/>
      <c r="M12" s="176"/>
      <c r="N12" s="176"/>
      <c r="O12" s="176"/>
      <c r="P12" s="176"/>
    </row>
    <row r="13">
      <c r="A13" s="177"/>
      <c r="G13" s="175"/>
      <c r="H13" s="176"/>
      <c r="I13" s="176"/>
      <c r="J13" s="176"/>
      <c r="K13" s="176"/>
      <c r="L13" s="176"/>
      <c r="M13" s="176"/>
      <c r="N13" s="176"/>
      <c r="O13" s="176"/>
      <c r="P13" s="176"/>
    </row>
    <row r="14">
      <c r="A14" s="177"/>
      <c r="G14" s="175"/>
      <c r="H14" s="176"/>
      <c r="I14" s="176"/>
      <c r="J14" s="176"/>
      <c r="K14" s="176"/>
      <c r="L14" s="176"/>
      <c r="M14" s="176"/>
      <c r="N14" s="176"/>
      <c r="O14" s="176"/>
      <c r="P14" s="176"/>
    </row>
    <row r="15">
      <c r="A15" s="177"/>
      <c r="G15" s="175"/>
      <c r="H15" s="178"/>
    </row>
    <row r="16">
      <c r="A16" s="177"/>
      <c r="G16" s="175"/>
      <c r="H16" s="178"/>
    </row>
    <row r="17">
      <c r="A17" s="177"/>
      <c r="G17" s="175"/>
      <c r="H17" s="178"/>
    </row>
    <row r="18">
      <c r="A18" s="177"/>
      <c r="G18" s="175"/>
      <c r="H18" s="178"/>
    </row>
    <row r="19">
      <c r="A19" s="177"/>
      <c r="G19" s="175"/>
      <c r="H19" s="178"/>
    </row>
    <row r="20">
      <c r="A20" s="177"/>
      <c r="G20" s="175"/>
      <c r="H20" s="178"/>
    </row>
    <row r="21">
      <c r="A21" s="177"/>
      <c r="G21" s="175"/>
      <c r="H21" s="178"/>
    </row>
    <row r="22">
      <c r="A22" s="177"/>
      <c r="G22" s="175"/>
      <c r="H22" s="178"/>
    </row>
    <row r="23">
      <c r="A23" s="177"/>
      <c r="G23" s="175"/>
      <c r="H23" s="178"/>
    </row>
    <row r="24">
      <c r="A24" s="177"/>
      <c r="G24" s="175"/>
      <c r="H24" s="178"/>
    </row>
    <row r="25">
      <c r="A25" s="177"/>
      <c r="G25" s="175"/>
      <c r="H25" s="178"/>
    </row>
    <row r="26">
      <c r="A26" s="177"/>
      <c r="G26" s="175"/>
      <c r="H26" s="178"/>
    </row>
    <row r="27">
      <c r="A27" s="177"/>
      <c r="G27" s="175"/>
      <c r="H27" s="178"/>
    </row>
    <row r="28">
      <c r="A28" s="177"/>
      <c r="G28" s="175"/>
      <c r="H28" s="178"/>
    </row>
    <row r="29">
      <c r="A29" s="177"/>
      <c r="G29" s="175"/>
    </row>
    <row r="30">
      <c r="A30" s="177"/>
      <c r="G30" s="175"/>
    </row>
    <row r="31">
      <c r="A31" s="177"/>
      <c r="G31" s="175"/>
    </row>
    <row r="32">
      <c r="A32" s="177"/>
      <c r="G32" s="175"/>
    </row>
    <row r="33">
      <c r="A33" s="177"/>
      <c r="G33" s="175"/>
    </row>
    <row r="34">
      <c r="A34" s="177"/>
      <c r="G34" s="175"/>
    </row>
    <row r="35">
      <c r="A35" s="177"/>
      <c r="G35" s="175"/>
    </row>
    <row r="36">
      <c r="A36" s="177"/>
      <c r="G36" s="175"/>
    </row>
    <row r="37">
      <c r="A37" s="177"/>
      <c r="G37" s="175"/>
    </row>
    <row r="38">
      <c r="A38" s="177"/>
      <c r="G38" s="175"/>
    </row>
    <row r="39">
      <c r="A39" s="177"/>
      <c r="G39" s="175"/>
    </row>
    <row r="40">
      <c r="A40" s="177"/>
      <c r="G40" s="175"/>
    </row>
    <row r="41">
      <c r="A41" s="177"/>
      <c r="G41" s="175"/>
    </row>
    <row r="42">
      <c r="A42" s="177"/>
      <c r="G42" s="175"/>
    </row>
    <row r="43">
      <c r="A43" s="177"/>
      <c r="G43" s="175"/>
    </row>
    <row r="44">
      <c r="A44" s="177"/>
      <c r="G44" s="175"/>
    </row>
    <row r="45">
      <c r="A45" s="177"/>
      <c r="G45" s="175"/>
    </row>
    <row r="46">
      <c r="A46" s="177"/>
      <c r="G46" s="175"/>
    </row>
    <row r="47">
      <c r="A47" s="179"/>
      <c r="B47" s="180"/>
      <c r="C47" s="180"/>
      <c r="D47" s="180"/>
      <c r="E47" s="180"/>
      <c r="F47" s="180"/>
      <c r="G47" s="181"/>
    </row>
  </sheetData>
  <mergeCells count="2">
    <mergeCell ref="A1:G1"/>
    <mergeCell ref="A2:G47"/>
  </mergeCells>
  <drawing r:id="rId1"/>
</worksheet>
</file>